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45" yWindow="5010" windowWidth="19020" windowHeight="11505"/>
  </bookViews>
  <sheets>
    <sheet name="2019 г" sheetId="1" r:id="rId1"/>
  </sheets>
  <definedNames>
    <definedName name="_xlnm.Print_Titles" localSheetId="0">'2019 г'!$14:$17</definedName>
    <definedName name="_xlnm.Print_Area" localSheetId="0">'2019 г'!$A$1:$T$169</definedName>
  </definedNames>
  <calcPr calcId="144525"/>
</workbook>
</file>

<file path=xl/calcChain.xml><?xml version="1.0" encoding="utf-8"?>
<calcChain xmlns="http://schemas.openxmlformats.org/spreadsheetml/2006/main">
  <c r="P147" i="1" l="1"/>
  <c r="L147" i="1"/>
  <c r="N147" i="1" s="1"/>
  <c r="P146" i="1"/>
  <c r="N146" i="1"/>
  <c r="L146" i="1"/>
  <c r="P145" i="1"/>
  <c r="L145" i="1"/>
  <c r="N145" i="1" s="1"/>
  <c r="P144" i="1"/>
  <c r="N144" i="1"/>
  <c r="L144" i="1"/>
  <c r="A147" i="1"/>
  <c r="P79" i="1"/>
  <c r="L79" i="1"/>
  <c r="N79" i="1" s="1"/>
  <c r="P78" i="1"/>
  <c r="N78" i="1"/>
  <c r="L78" i="1"/>
  <c r="P77" i="1"/>
  <c r="L77" i="1"/>
  <c r="N77" i="1" s="1"/>
  <c r="P76" i="1"/>
  <c r="L76" i="1"/>
  <c r="N76" i="1" s="1"/>
  <c r="P72" i="1" l="1"/>
  <c r="N72" i="1"/>
  <c r="P70" i="1" l="1"/>
  <c r="N70" i="1"/>
  <c r="P166" i="1" l="1"/>
  <c r="L166" i="1"/>
  <c r="N166" i="1" s="1"/>
  <c r="P165" i="1"/>
  <c r="L165" i="1"/>
  <c r="N165" i="1" s="1"/>
  <c r="P69" i="1"/>
  <c r="L69" i="1"/>
  <c r="N69" i="1" s="1"/>
  <c r="P68" i="1"/>
  <c r="L68" i="1"/>
  <c r="N68" i="1" s="1"/>
  <c r="P149" i="1"/>
  <c r="L149" i="1"/>
  <c r="N149" i="1" s="1"/>
  <c r="P148" i="1"/>
  <c r="N148" i="1"/>
  <c r="L148" i="1"/>
  <c r="P82" i="1"/>
  <c r="N82" i="1"/>
  <c r="L82" i="1"/>
  <c r="P81" i="1"/>
  <c r="L81" i="1"/>
  <c r="N81" i="1" s="1"/>
  <c r="P67" i="1" l="1"/>
  <c r="N67" i="1"/>
  <c r="L67" i="1"/>
  <c r="K67" i="1"/>
  <c r="P57" i="1"/>
  <c r="N57" i="1"/>
  <c r="K57" i="1"/>
  <c r="L57" i="1" s="1"/>
  <c r="P143" i="1" l="1"/>
  <c r="L143" i="1"/>
  <c r="N143" i="1" s="1"/>
  <c r="P75" i="1"/>
  <c r="N75" i="1"/>
  <c r="L75" i="1"/>
  <c r="P66" i="1"/>
  <c r="L66" i="1"/>
  <c r="N66" i="1" s="1"/>
  <c r="P65" i="1"/>
  <c r="L65" i="1"/>
  <c r="N65" i="1" s="1"/>
  <c r="P142" i="1"/>
  <c r="L142" i="1"/>
  <c r="N142" i="1" s="1"/>
  <c r="P141" i="1"/>
  <c r="L141" i="1"/>
  <c r="N141" i="1" s="1"/>
  <c r="P58" i="1"/>
  <c r="L58" i="1"/>
  <c r="N58" i="1" s="1"/>
  <c r="K58" i="1"/>
  <c r="P137" i="1"/>
  <c r="L137" i="1"/>
  <c r="N137" i="1" s="1"/>
  <c r="K137" i="1"/>
  <c r="P135" i="1"/>
  <c r="L135" i="1"/>
  <c r="N135" i="1" s="1"/>
  <c r="P53" i="1"/>
  <c r="L53" i="1"/>
  <c r="N53" i="1" s="1"/>
  <c r="L59" i="1" l="1"/>
  <c r="K59" i="1"/>
  <c r="L40" i="1"/>
  <c r="P140" i="1" l="1"/>
  <c r="N140" i="1"/>
  <c r="L140" i="1"/>
  <c r="P64" i="1"/>
  <c r="L64" i="1"/>
  <c r="N64" i="1" s="1"/>
  <c r="P132" i="1"/>
  <c r="L132" i="1"/>
  <c r="N132" i="1" s="1"/>
  <c r="P50" i="1"/>
  <c r="N50" i="1"/>
  <c r="L50" i="1"/>
  <c r="P129" i="1"/>
  <c r="L129" i="1"/>
  <c r="N129" i="1" s="1"/>
  <c r="P46" i="1"/>
  <c r="L46" i="1"/>
  <c r="N46" i="1" s="1"/>
  <c r="P127" i="1"/>
  <c r="N127" i="1"/>
  <c r="L127" i="1"/>
  <c r="P44" i="1"/>
  <c r="L44" i="1"/>
  <c r="N44" i="1" s="1"/>
  <c r="P134" i="1" l="1"/>
  <c r="K134" i="1"/>
  <c r="L134" i="1" s="1"/>
  <c r="N134" i="1" s="1"/>
  <c r="P133" i="1"/>
  <c r="L133" i="1"/>
  <c r="N133" i="1" s="1"/>
  <c r="K133" i="1"/>
  <c r="P60" i="1"/>
  <c r="N60" i="1"/>
  <c r="K60" i="1"/>
  <c r="L60" i="1" s="1"/>
  <c r="P52" i="1"/>
  <c r="L52" i="1"/>
  <c r="N52" i="1" s="1"/>
  <c r="K52" i="1"/>
  <c r="P51" i="1"/>
  <c r="L51" i="1"/>
  <c r="N51" i="1" s="1"/>
  <c r="K51" i="1"/>
  <c r="P37" i="1"/>
  <c r="N37" i="1"/>
  <c r="K37" i="1"/>
  <c r="L37" i="1" s="1"/>
  <c r="P49" i="1" l="1"/>
  <c r="N49" i="1"/>
  <c r="P55" i="1"/>
  <c r="N55" i="1"/>
  <c r="L55" i="1"/>
  <c r="P164" i="1" l="1"/>
  <c r="K164" i="1"/>
  <c r="L164" i="1" s="1"/>
  <c r="N164" i="1" s="1"/>
  <c r="P163" i="1"/>
  <c r="K163" i="1"/>
  <c r="L163" i="1" s="1"/>
  <c r="N163" i="1" s="1"/>
  <c r="P162" i="1"/>
  <c r="L162" i="1"/>
  <c r="N162" i="1" s="1"/>
  <c r="K162" i="1"/>
  <c r="P161" i="1"/>
  <c r="K161" i="1"/>
  <c r="L161" i="1" s="1"/>
  <c r="N161" i="1" s="1"/>
  <c r="P160" i="1"/>
  <c r="K160" i="1"/>
  <c r="L160" i="1" s="1"/>
  <c r="N160" i="1" s="1"/>
  <c r="P159" i="1"/>
  <c r="K159" i="1"/>
  <c r="L159" i="1" s="1"/>
  <c r="N159" i="1" s="1"/>
  <c r="P158" i="1"/>
  <c r="L158" i="1"/>
  <c r="N158" i="1" s="1"/>
  <c r="K158" i="1"/>
  <c r="P157" i="1"/>
  <c r="K157" i="1"/>
  <c r="L157" i="1" s="1"/>
  <c r="N157" i="1" s="1"/>
  <c r="P156" i="1"/>
  <c r="K156" i="1"/>
  <c r="L156" i="1" s="1"/>
  <c r="N156" i="1" s="1"/>
  <c r="P155" i="1"/>
  <c r="K155" i="1"/>
  <c r="L155" i="1" s="1"/>
  <c r="N155" i="1" s="1"/>
  <c r="P154" i="1"/>
  <c r="L154" i="1"/>
  <c r="N154" i="1" s="1"/>
  <c r="K154" i="1"/>
  <c r="P153" i="1"/>
  <c r="K153" i="1"/>
  <c r="L153" i="1" s="1"/>
  <c r="N153" i="1" s="1"/>
  <c r="P152" i="1"/>
  <c r="K152" i="1"/>
  <c r="L152" i="1" s="1"/>
  <c r="N152" i="1" s="1"/>
  <c r="P151" i="1"/>
  <c r="L151" i="1"/>
  <c r="N151" i="1" s="1"/>
  <c r="K151" i="1"/>
  <c r="P150" i="1"/>
  <c r="K150" i="1"/>
  <c r="L150" i="1" s="1"/>
  <c r="N150" i="1" s="1"/>
  <c r="P139" i="1"/>
  <c r="L139" i="1"/>
  <c r="N139" i="1" s="1"/>
  <c r="K139" i="1"/>
  <c r="P138" i="1"/>
  <c r="K138" i="1"/>
  <c r="L138" i="1" s="1"/>
  <c r="N138" i="1" s="1"/>
  <c r="A117" i="1"/>
  <c r="P136" i="1"/>
  <c r="K136" i="1"/>
  <c r="L136" i="1" s="1"/>
  <c r="N136" i="1" s="1"/>
  <c r="P131" i="1"/>
  <c r="K131" i="1"/>
  <c r="L131" i="1" s="1"/>
  <c r="N131" i="1" s="1"/>
  <c r="P130" i="1"/>
  <c r="L130" i="1"/>
  <c r="N130" i="1" s="1"/>
  <c r="K130" i="1"/>
  <c r="P128" i="1"/>
  <c r="K128" i="1"/>
  <c r="L128" i="1" s="1"/>
  <c r="N128" i="1" s="1"/>
  <c r="P126" i="1"/>
  <c r="K126" i="1"/>
  <c r="L126" i="1" s="1"/>
  <c r="N126" i="1" s="1"/>
  <c r="P125" i="1"/>
  <c r="L125" i="1"/>
  <c r="N125" i="1" s="1"/>
  <c r="P124" i="1"/>
  <c r="K124" i="1"/>
  <c r="L124" i="1" s="1"/>
  <c r="N124" i="1" s="1"/>
  <c r="P123" i="1"/>
  <c r="L123" i="1"/>
  <c r="N123" i="1" s="1"/>
  <c r="P122" i="1"/>
  <c r="L122" i="1"/>
  <c r="N122" i="1" s="1"/>
  <c r="K122" i="1"/>
  <c r="P121" i="1"/>
  <c r="L121" i="1"/>
  <c r="N121" i="1" s="1"/>
  <c r="P120" i="1"/>
  <c r="K120" i="1"/>
  <c r="L120" i="1" s="1"/>
  <c r="N120" i="1" s="1"/>
  <c r="P119" i="1"/>
  <c r="K119" i="1"/>
  <c r="L119" i="1" s="1"/>
  <c r="N119" i="1" s="1"/>
  <c r="P118" i="1"/>
  <c r="L118" i="1"/>
  <c r="N118" i="1" s="1"/>
  <c r="P117" i="1"/>
  <c r="L117" i="1"/>
  <c r="N117" i="1" s="1"/>
  <c r="P116" i="1"/>
  <c r="L116" i="1"/>
  <c r="N116" i="1" s="1"/>
  <c r="P115" i="1"/>
  <c r="L115" i="1"/>
  <c r="N115" i="1" s="1"/>
  <c r="P114" i="1"/>
  <c r="L114" i="1"/>
  <c r="N114" i="1" s="1"/>
  <c r="P85" i="1"/>
  <c r="N85" i="1"/>
  <c r="K85" i="1"/>
  <c r="L85" i="1" s="1"/>
  <c r="N80" i="1"/>
  <c r="K80" i="1"/>
  <c r="L80" i="1" s="1"/>
  <c r="P80" i="1" s="1"/>
  <c r="N40" i="1"/>
  <c r="K40" i="1"/>
  <c r="P40" i="1" s="1"/>
  <c r="L74" i="1"/>
  <c r="P39" i="1"/>
  <c r="N39" i="1"/>
  <c r="L39" i="1"/>
  <c r="N59" i="1"/>
  <c r="P59" i="1"/>
  <c r="K56" i="1"/>
  <c r="H91" i="1"/>
  <c r="K91" i="1" s="1"/>
  <c r="K38" i="1"/>
  <c r="K90" i="1" l="1"/>
  <c r="L90" i="1" s="1"/>
  <c r="K94" i="1"/>
  <c r="L94" i="1" s="1"/>
  <c r="N94" i="1" s="1"/>
  <c r="K93" i="1"/>
  <c r="L93" i="1" s="1"/>
  <c r="N93" i="1" s="1"/>
  <c r="P94" i="1"/>
  <c r="P93" i="1"/>
  <c r="K92" i="1"/>
  <c r="P92" i="1"/>
  <c r="L92" i="1"/>
  <c r="N92" i="1" s="1"/>
  <c r="K88" i="1"/>
  <c r="K87" i="1"/>
  <c r="K86" i="1"/>
  <c r="K99" i="1"/>
  <c r="K101" i="1"/>
  <c r="K100" i="1"/>
  <c r="K98" i="1"/>
  <c r="K97" i="1"/>
  <c r="K96" i="1"/>
  <c r="K95" i="1"/>
  <c r="P63" i="1"/>
  <c r="K63" i="1"/>
  <c r="L63" i="1" s="1"/>
  <c r="N63" i="1" s="1"/>
  <c r="K84" i="1"/>
  <c r="K83" i="1"/>
  <c r="L83" i="1" s="1"/>
  <c r="P83" i="1"/>
  <c r="K62" i="1"/>
  <c r="K54" i="1"/>
  <c r="K48" i="1"/>
  <c r="K47" i="1"/>
  <c r="K45" i="1"/>
  <c r="K43" i="1"/>
  <c r="K36" i="1"/>
  <c r="K34" i="1"/>
  <c r="K32" i="1"/>
  <c r="K31" i="1"/>
  <c r="L25" i="1"/>
  <c r="L20" i="1"/>
  <c r="N83" i="1" l="1"/>
  <c r="P25" i="1"/>
  <c r="N25" i="1"/>
  <c r="N24" i="1"/>
  <c r="K24" i="1"/>
  <c r="N23" i="1"/>
  <c r="K23" i="1"/>
  <c r="L23" i="1" s="1"/>
  <c r="P23" i="1" s="1"/>
  <c r="A20" i="1"/>
  <c r="A114" i="1" s="1"/>
  <c r="P22" i="1"/>
  <c r="L22" i="1"/>
  <c r="N22" i="1" s="1"/>
  <c r="P21" i="1"/>
  <c r="L21" i="1"/>
  <c r="N21" i="1" s="1"/>
  <c r="A21" i="1"/>
  <c r="P20" i="1"/>
  <c r="N20" i="1"/>
  <c r="L19" i="1"/>
  <c r="A19" i="1"/>
  <c r="P19" i="1"/>
  <c r="N19" i="1"/>
  <c r="A27" i="1"/>
  <c r="N26" i="1"/>
  <c r="L26" i="1"/>
  <c r="P26" i="1" s="1"/>
  <c r="A22" i="1" l="1"/>
  <c r="A116" i="1" s="1"/>
  <c r="A115" i="1"/>
  <c r="L24" i="1"/>
  <c r="P24" i="1" s="1"/>
  <c r="L27" i="1"/>
  <c r="P27" i="1"/>
  <c r="N27" i="1"/>
  <c r="P104" i="1" l="1"/>
  <c r="N104" i="1"/>
  <c r="L104" i="1"/>
  <c r="N103" i="1"/>
  <c r="L103" i="1"/>
  <c r="P103" i="1" s="1"/>
  <c r="P102" i="1" l="1"/>
  <c r="N102" i="1"/>
  <c r="P91" i="1" l="1"/>
  <c r="N91" i="1"/>
  <c r="L91" i="1"/>
  <c r="P88" i="1" l="1"/>
  <c r="L88" i="1"/>
  <c r="N88" i="1" s="1"/>
  <c r="P87" i="1"/>
  <c r="L87" i="1"/>
  <c r="N87" i="1" s="1"/>
  <c r="P86" i="1"/>
  <c r="L86" i="1"/>
  <c r="N86" i="1" s="1"/>
  <c r="P56" i="1" l="1"/>
  <c r="N56" i="1"/>
  <c r="L56" i="1"/>
  <c r="P48" i="1" l="1"/>
  <c r="L48" i="1"/>
  <c r="N48" i="1" s="1"/>
  <c r="P41" i="1"/>
  <c r="N41" i="1"/>
  <c r="L41" i="1"/>
  <c r="P47" i="1" l="1"/>
  <c r="L47" i="1"/>
  <c r="N47" i="1" s="1"/>
  <c r="L45" i="1" l="1"/>
  <c r="N45" i="1" s="1"/>
  <c r="P43" i="1" l="1"/>
  <c r="L43" i="1"/>
  <c r="N43" i="1" s="1"/>
  <c r="P42" i="1"/>
  <c r="L42" i="1"/>
  <c r="N42" i="1" s="1"/>
  <c r="P35" i="1" l="1"/>
  <c r="L35" i="1"/>
  <c r="N35" i="1" s="1"/>
  <c r="P36" i="1" l="1"/>
  <c r="L36" i="1"/>
  <c r="N36" i="1" s="1"/>
  <c r="P34" i="1" l="1"/>
  <c r="L34" i="1"/>
  <c r="N34" i="1" s="1"/>
  <c r="P33" i="1"/>
  <c r="L33" i="1"/>
  <c r="N33" i="1" s="1"/>
  <c r="P32" i="1"/>
  <c r="L32" i="1"/>
  <c r="N32" i="1" s="1"/>
  <c r="P31" i="1"/>
  <c r="L31" i="1"/>
  <c r="P30" i="1"/>
  <c r="L30" i="1"/>
  <c r="N30" i="1" s="1"/>
  <c r="N31" i="1" l="1"/>
  <c r="P101" i="1"/>
  <c r="P100" i="1"/>
  <c r="P99" i="1"/>
  <c r="P98" i="1"/>
  <c r="P97" i="1"/>
  <c r="P96" i="1"/>
  <c r="P95" i="1"/>
  <c r="P84" i="1"/>
  <c r="P74" i="1"/>
  <c r="P62" i="1"/>
  <c r="P54" i="1"/>
  <c r="P45" i="1"/>
  <c r="P38" i="1"/>
  <c r="P29" i="1"/>
  <c r="N90" i="1"/>
  <c r="N74" i="1"/>
  <c r="N38" i="1"/>
  <c r="A30" i="1" l="1"/>
  <c r="L38" i="1"/>
  <c r="A31" i="1" l="1"/>
  <c r="A118" i="1"/>
  <c r="P90" i="1"/>
  <c r="K107" i="1" s="1"/>
  <c r="A32" i="1" l="1"/>
  <c r="A120" i="1" s="1"/>
  <c r="A119" i="1"/>
  <c r="L99" i="1"/>
  <c r="N99" i="1" s="1"/>
  <c r="L101" i="1"/>
  <c r="N101" i="1" s="1"/>
  <c r="L100" i="1"/>
  <c r="N100" i="1" s="1"/>
  <c r="L98" i="1"/>
  <c r="N98" i="1" s="1"/>
  <c r="L97" i="1"/>
  <c r="N97" i="1" s="1"/>
  <c r="L96" i="1"/>
  <c r="N96" i="1" s="1"/>
  <c r="L95" i="1"/>
  <c r="N95" i="1" s="1"/>
  <c r="L84" i="1"/>
  <c r="L62" i="1"/>
  <c r="N62" i="1" s="1"/>
  <c r="L54" i="1"/>
  <c r="L29" i="1"/>
  <c r="K106" i="1" l="1"/>
  <c r="N54" i="1"/>
  <c r="N84" i="1"/>
  <c r="N29" i="1"/>
  <c r="K108" i="1" l="1"/>
  <c r="L174" i="1" s="1"/>
  <c r="L173" i="1"/>
  <c r="L172" i="1"/>
  <c r="L175" i="1" l="1"/>
  <c r="R108" i="1"/>
  <c r="A33" i="1" l="1"/>
  <c r="A34" i="1" l="1"/>
  <c r="A121" i="1"/>
  <c r="A35" i="1" l="1"/>
  <c r="A122" i="1"/>
  <c r="A36" i="1" l="1"/>
  <c r="A123" i="1"/>
  <c r="A37" i="1" l="1"/>
  <c r="A38" i="1" s="1"/>
  <c r="A39" i="1" s="1"/>
  <c r="A40" i="1" s="1"/>
  <c r="A41" i="1" s="1"/>
  <c r="A42" i="1" s="1"/>
  <c r="A124" i="1"/>
  <c r="A43" i="1" l="1"/>
  <c r="A125" i="1"/>
  <c r="A44" i="1" l="1"/>
  <c r="A126" i="1"/>
  <c r="A127" i="1" l="1"/>
  <c r="A45" i="1"/>
  <c r="A46" i="1" l="1"/>
  <c r="A128" i="1"/>
  <c r="A129" i="1" l="1"/>
  <c r="A47" i="1"/>
  <c r="A130" i="1" l="1"/>
  <c r="A48" i="1"/>
  <c r="A50" i="1" l="1"/>
  <c r="A131" i="1"/>
  <c r="A51" i="1" l="1"/>
  <c r="A132" i="1"/>
  <c r="A133" i="1" s="1"/>
  <c r="A134" i="1" s="1"/>
  <c r="A52" i="1" l="1"/>
  <c r="A53" i="1" l="1"/>
  <c r="A54" i="1" l="1"/>
  <c r="A135" i="1"/>
  <c r="A55" i="1" l="1"/>
  <c r="A56" i="1" s="1"/>
  <c r="A57" i="1" s="1"/>
  <c r="A58" i="1" s="1"/>
  <c r="A136" i="1"/>
  <c r="A59" i="1" l="1"/>
  <c r="A60" i="1" s="1"/>
  <c r="A62" i="1" s="1"/>
  <c r="A137" i="1"/>
  <c r="A63" i="1" l="1"/>
  <c r="A138" i="1"/>
  <c r="A64" i="1" l="1"/>
  <c r="A139" i="1"/>
  <c r="A140" i="1" s="1"/>
  <c r="A65" i="1" l="1"/>
  <c r="A66" i="1" l="1"/>
  <c r="A141" i="1"/>
  <c r="A67" i="1" l="1"/>
  <c r="A74" i="1" s="1"/>
  <c r="A75" i="1" s="1"/>
  <c r="A142" i="1"/>
  <c r="A76" i="1" l="1"/>
  <c r="A143" i="1"/>
  <c r="A77" i="1" l="1"/>
  <c r="A144" i="1"/>
  <c r="A78" i="1" l="1"/>
  <c r="A145" i="1"/>
  <c r="A146" i="1" l="1"/>
  <c r="A80" i="1"/>
  <c r="A81" i="1" s="1"/>
  <c r="A82" i="1" l="1"/>
  <c r="A148" i="1"/>
  <c r="A83" i="1" l="1"/>
  <c r="A149" i="1"/>
  <c r="A84" i="1" l="1"/>
  <c r="A150" i="1"/>
  <c r="A85" i="1" l="1"/>
  <c r="A86" i="1" s="1"/>
  <c r="A151" i="1"/>
  <c r="A87" i="1" l="1"/>
  <c r="A152" i="1"/>
  <c r="A88" i="1" l="1"/>
  <c r="A153" i="1"/>
  <c r="A154" i="1" l="1"/>
  <c r="A90" i="1"/>
  <c r="A91" i="1" s="1"/>
  <c r="A92" i="1" s="1"/>
  <c r="A155" i="1" l="1"/>
  <c r="A93" i="1"/>
  <c r="A156" i="1" l="1"/>
  <c r="A94" i="1"/>
  <c r="A95" i="1" s="1"/>
  <c r="A157" i="1" l="1"/>
  <c r="A96" i="1"/>
  <c r="A158" i="1"/>
  <c r="A97" i="1" l="1"/>
  <c r="A159" i="1"/>
  <c r="A98" i="1" l="1"/>
  <c r="A160" i="1"/>
  <c r="A99" i="1" l="1"/>
  <c r="A161" i="1"/>
  <c r="A100" i="1" l="1"/>
  <c r="A162" i="1"/>
  <c r="A101" i="1" l="1"/>
  <c r="A163" i="1"/>
  <c r="A102" i="1" l="1"/>
  <c r="A103" i="1" s="1"/>
  <c r="A104" i="1" s="1"/>
  <c r="A49" i="1" s="1"/>
  <c r="A68" i="1" s="1"/>
  <c r="A164" i="1"/>
  <c r="A69" i="1" l="1"/>
  <c r="A165" i="1"/>
  <c r="A166" i="1" l="1"/>
  <c r="A70" i="1"/>
  <c r="A71" i="1" s="1"/>
  <c r="A72" i="1" s="1"/>
  <c r="A79" i="1" s="1"/>
</calcChain>
</file>

<file path=xl/comments1.xml><?xml version="1.0" encoding="utf-8"?>
<comments xmlns="http://schemas.openxmlformats.org/spreadsheetml/2006/main">
  <authors>
    <author>Помазкова</author>
  </authors>
  <commentList>
    <comment ref="L172" authorId="0">
      <text>
        <r>
          <rPr>
            <b/>
            <sz val="9"/>
            <color indexed="81"/>
            <rFont val="Tahoma"/>
            <family val="2"/>
            <charset val="204"/>
          </rPr>
          <t>Помазкова:</t>
        </r>
        <r>
          <rPr>
            <sz val="9"/>
            <color indexed="81"/>
            <rFont val="Tahoma"/>
            <family val="2"/>
            <charset val="204"/>
          </rPr>
          <t xml:space="preserve">
+25420042,3 - позиции 120-129 Плана 2017 года</t>
        </r>
      </text>
    </comment>
  </commentList>
</comments>
</file>

<file path=xl/sharedStrings.xml><?xml version="1.0" encoding="utf-8"?>
<sst xmlns="http://schemas.openxmlformats.org/spreadsheetml/2006/main" count="1379" uniqueCount="161">
  <si>
    <t xml:space="preserve">ПЛАН ЗАКУПКИ ТОВАРОВ (РАБОТ, УСЛУГ) </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</si>
  <si>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</si>
  <si>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</si>
  <si>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</si>
  <si>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</si>
  <si>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</si>
  <si>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</si>
  <si>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</si>
  <si>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Порядковый номер</t>
  </si>
  <si>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</si>
  <si>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</si>
  <si>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</si>
  <si>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</si>
  <si>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 (работам, услугам)</t>
  </si>
  <si>
    <t>Единица измерения</t>
  </si>
  <si>
    <t xml:space="preserve">Сведения о количестве (объеме) </t>
  </si>
  <si>
    <t xml:space="preserve">График осуществления процедур закупки </t>
  </si>
  <si>
    <t>Код по ОКЕИ</t>
  </si>
  <si>
    <t>наименование</t>
  </si>
  <si>
    <t>Код по ОКАТО</t>
  </si>
  <si>
    <t>Срок исполне-ния  договора (месяц, год)</t>
  </si>
  <si>
    <t>да/нет</t>
  </si>
  <si>
    <t>Аренда участка гаражного помещения</t>
  </si>
  <si>
    <t>место</t>
  </si>
  <si>
    <t>г. Тула</t>
  </si>
  <si>
    <t>закупка у единственного поставщика</t>
  </si>
  <si>
    <t>нет</t>
  </si>
  <si>
    <t>Нефтепродукты</t>
  </si>
  <si>
    <t>тонна</t>
  </si>
  <si>
    <t>Тульская обл.</t>
  </si>
  <si>
    <t>01.11.1</t>
  </si>
  <si>
    <t>запрос котировок</t>
  </si>
  <si>
    <t xml:space="preserve">Азотно-фосфорно-калийное минеральное удобрение «Диаммофоска (ДАФК)» </t>
  </si>
  <si>
    <t>Аммофос</t>
  </si>
  <si>
    <t>рубль</t>
  </si>
  <si>
    <t xml:space="preserve">запрос котировок </t>
  </si>
  <si>
    <t>Кимовский район Тульской обл.</t>
  </si>
  <si>
    <t>Плавский р-н Тульской обл.</t>
  </si>
  <si>
    <t>Предоставление во временное владение и пользование за плату  четырех освещаемых, отапливаемых, охраняемых места в гаражном помещении для размещения автомобилей. Заказчик наделяется правом использования смотровых ям для технического обслуживания и ремонта транспортного средства и участка мойки с отстойниками для автомобилей. Заказчик вправе самостоятельно осуществлять мойку транспортного средства.</t>
  </si>
  <si>
    <t>Регион поставки товаров (выполнения работ, оказания услуг)</t>
  </si>
  <si>
    <t>Азофоска (нитроаммофоска            NPK 16:16:16)</t>
  </si>
  <si>
    <t>закупка сельскохозяйст-венной продукции, сырья и продовольствия в региональный продовольственный фонд</t>
  </si>
  <si>
    <t>Услуги по хранению и отгрузке зерна в г. Туле</t>
  </si>
  <si>
    <t>Услуги по хранению и отгрузке зерна в Плавском р-не Тульской обл.</t>
  </si>
  <si>
    <t>Акционерное общество "Тульский аграрный центр"</t>
  </si>
  <si>
    <t xml:space="preserve">г. Тула Тульской обл. </t>
  </si>
  <si>
    <t xml:space="preserve">68.20.2      </t>
  </si>
  <si>
    <t>20.15.71</t>
  </si>
  <si>
    <t>20.15.74</t>
  </si>
  <si>
    <t>20.15.3</t>
  </si>
  <si>
    <t>усл.ед.</t>
  </si>
  <si>
    <t xml:space="preserve">64.19     </t>
  </si>
  <si>
    <t xml:space="preserve">64.19.21     </t>
  </si>
  <si>
    <t>Участие субъектов малого и среднего предпринимательства в закупке</t>
  </si>
  <si>
    <t>300012, Россия, Тульская область, г. Тула, ул. М. Тореза, д. 5, корпус 2, помещение 2, 3-й этаж</t>
  </si>
  <si>
    <t xml:space="preserve">8(4872)255620                                                           </t>
  </si>
  <si>
    <t>Поставка средств защиты растений производства компании "Байер"</t>
  </si>
  <si>
    <t>20.15.31.000</t>
  </si>
  <si>
    <t>Карбамид марки Б</t>
  </si>
  <si>
    <t xml:space="preserve">Поставка средств защиты растений </t>
  </si>
  <si>
    <t>agrocentr5@mail.ru</t>
  </si>
  <si>
    <t>52.10.3</t>
  </si>
  <si>
    <t>Хранение зерна должно осуществляться в соответствии с требованиями и условиями, установленными договором, с соблюдением норм (режимов) хранения в соответствии с государственными стандартами и иными нормативно-правовыми актами. Приемка  и отпуск продукции Хранителем производится с соблюдением требований, установленных Инструкциями Госарбитража:
• «Инструкция о порядке приемки продукции производственно-технического назначения и товаров народного потребления по количеству» (Утв. Постановлением Госарбитража СССР от 15.06.65 г. № П-6 в ред. от 14.11.74 г.);
«Инструкция о порядке приемки продукции производственно-технического назначения и товаров народного потребления по качеству»  (Утв. Постановлением Госарбитража СССР от 25.04.66 г. № П-7 в ред. от 14.11.74 г.).</t>
  </si>
  <si>
    <t>Услуги по хранению и отгрузке зерна ржи в Кимовском р-не Тульской обл.</t>
  </si>
  <si>
    <t>Тульская обл. г. Тула</t>
  </si>
  <si>
    <t>Качество Товара должно соответствовать его назначению и подтверждаться Сертификатом соответствия ГОСТ Р 51247-99 на русском языке или документом, его заменяющим в соответствии с п. 3 ст. 25 Федерального закона «О техническом регулировании» от 27 декабря 2002 г. № 184-ФЗ. Поставщик гарантирует качество Товара в течение всего срока годности, при условии соблюдения действующих правил и нормативов, регулирующих условия перевозки, хранения и использования Товара. Каждое место груза имеет тарную наклейку/этикетку на русском языке. Информация о сроке годности Товара помещается на тарной наклейке/этикетке. Товар отгружается в упаковке, соответствующей характеру поставляемого Товара. Тара и внутренняя упаковка должны обеспечивать полную сохранность и предохранять Товар при транспортировке всеми видами транспорта с учетом перевалок.</t>
  </si>
  <si>
    <t>68.20.12.000</t>
  </si>
  <si>
    <t>Код по ОКВЭД 2</t>
  </si>
  <si>
    <t>Код по ОКПД 2</t>
  </si>
  <si>
    <t xml:space="preserve">46.75.1    </t>
  </si>
  <si>
    <t>19.20.21</t>
  </si>
  <si>
    <t>46.21.11</t>
  </si>
  <si>
    <t xml:space="preserve">Возобновляемая кредитная линия с лимитом задолженности на пополнение оборотных средств </t>
  </si>
  <si>
    <t>46.71.2</t>
  </si>
  <si>
    <t>20.20.1</t>
  </si>
  <si>
    <t xml:space="preserve">Качество поставляемого удобрения должно соответствовать требованиям ГОСТ, ТУ и подтверждаться соответствующими документами. Продукция должна упаковываться в тару (мягкие контейнеры разовые - МКР), отвечающую установленным требованиям и обеспечивающую сохранность  продукции при перевозке. Доставка железнодорожным транспортом до станции назначения в Тульской области. </t>
  </si>
  <si>
    <t>Качество поставляемого удобрения должно соответствовать требованиям ГОСТ, ТУ  и подтверждаться соответствующими документами. Продукция должна упаковываться в тару (мягкие контейнеры разовые МКР), отвечающую установленным требованиям и обеспечивающую сохранность  продукции при перевозке. Самовывоз автомобильным транспортом со склада Поставщика.</t>
  </si>
  <si>
    <t>01.11.11</t>
  </si>
  <si>
    <t>Качество поставляемого удобрения должно соответствовать требованиям ГОСТ 2081-2010 и подтверждаться соответствующими документами. Продукция должна упаковываться в тару (мягкие контейнеры разовые - МКР), отвечающую установленным требованиям и обеспечивающую сохранность  продукции при перевозке. Поставка партиями автотранспортом Поставщика на склад Покупателя (Грузополучателя)</t>
  </si>
  <si>
    <t>52.10.13</t>
  </si>
  <si>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t>
  </si>
  <si>
    <t>рублей.</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</si>
  <si>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t>
  </si>
  <si>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t>
  </si>
  <si>
    <t>рублей  (</t>
  </si>
  <si>
    <t>процентов)</t>
  </si>
  <si>
    <t xml:space="preserve">   (уполномоченного лица) заказчика)</t>
  </si>
  <si>
    <t xml:space="preserve">Качество поставляемого удобрения должно соответствовать требованиям ГОСТ, ТУ и подтверждаться соответствующими документами. Продукция должна упаковываться в тару (мягкие контейнеры разовые МКР), отвечающую установленным требованиям и обеспечивающую сохранность  продукции при перевозке. Самовывоз автомобильным транспортом со склада Поставщика. </t>
  </si>
  <si>
    <t>Поставка зерна пшеницы урожая 2018 года в региональный продовольственный фонд в счет авансовых поставок материальных ресурсов</t>
  </si>
  <si>
    <t>01.11.13</t>
  </si>
  <si>
    <t>01.11.32</t>
  </si>
  <si>
    <t xml:space="preserve">Выращенная сельскохозяйственная продукция поставляется Заказчику в счет авансовых поставок материальных ресурсов. Качество поставляемого зерна должно соответствовать требованиям ГОСТ Р 53049-2008, медико-биологическим, санитарным нормам и подтверждаться соответствующими документами установленного образца (сертификат соответствия или декларация с протоколом испытаний, справка о соблюдении регламентов применения пестицидов и пр. согласно проекту Договора).  </t>
  </si>
  <si>
    <t xml:space="preserve">Выращенная сельскохозяйственная продукция поставляется Заказчику в счет авансовых поставок материальных ресурсов. Качество поставляемого зерна должно соответствовать требованиям ГОСТ Р 52554-2006  (за исключением показателя «Число падения»: зачетные показатели при приемке –  не менее 200 с), медико-биологическим, санитарным нормам и подтверждаться соответствующими документами установленного образца (сертификат соответствия или декларация с протоколом испытаний, справка о соблюдении регламентов применения пестицидов и пр. согласно проекту Договора).  </t>
  </si>
  <si>
    <t>Поставка зерна пшеницы урожая 2019 года в региональный продовольственный фонд в счет авансовых поставок материальных ресурсов</t>
  </si>
  <si>
    <t>Московская обл.</t>
  </si>
  <si>
    <t>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t>
  </si>
  <si>
    <t xml:space="preserve">рублей </t>
  </si>
  <si>
    <t>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t>
  </si>
  <si>
    <t>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t>
  </si>
  <si>
    <t>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t>
  </si>
  <si>
    <t>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t>
  </si>
  <si>
    <t>4 квартал 2018 г.</t>
  </si>
  <si>
    <t>Закупка, участниками к-рой являются только СМП</t>
  </si>
  <si>
    <t>да</t>
  </si>
  <si>
    <t>Закупка исключается при расчете годового объема закупок, участниками к-рых являются СМП</t>
  </si>
  <si>
    <t>Сведения о начальной (максимальной) цене договора (цене лота),  российских рублей</t>
  </si>
  <si>
    <t>объем оплаты договора в 2018 году СМП,  российских рублей</t>
  </si>
  <si>
    <t>объем оплаты договора в 2018 году, российских рублей</t>
  </si>
  <si>
    <t>Планируемая дата или период  размещения извещения о закупке (месяц, год)</t>
  </si>
  <si>
    <t>ЕИС на 19.01.2018г</t>
  </si>
  <si>
    <t>Качество Товара должно соответствовать требованиям установленных в Российской Федерации стандартов качества (ГОСТ, ОСТ, ТУ) и приложенным по каждой товарной позиции Товара сертификатам соответствия, паспортам качества или иным аналогичным документам. Товар, поставляемый по настоящему Договору, должен быть упакован и затарен в соответствии с требованиями утвержденных стандартов, способом, исключающим возможность его порчи, утраты и/или повреждения в период загрузки (разгрузки) и  транспортировки. Поставка Товара осуществляется отдельными партиями на условиях самовывоза силами и за счет Покупателя со склада Поставщика в течение срока действия договора.</t>
  </si>
  <si>
    <t>Кредитор обязуется открыть возобновляемую Кредитную линию и предоставить Заемщику Кредиты в размере и на условиях, указанных в Соглашении. Лимит задолженности по Кредитной линии: 60 000 000 рублей. Цель Кредитной линии: финансирование обычной хозяйственной деятельности на цели пополнения оборотных средств. Срок пользования кредитной линией: в течение календарного года с даты вступления соглашения в силу. Общий срок предоставления кредитов: 335 (Триста тридцать пять) дней с даты вступления соглашения в силу. Предоставление кредита осуществляется Кредитором в течение 3 (Трех) Рабочих дней после представления Заявления посредством зачисления Кредита на Расчетный счет Заемщика. Под начальной (максимальной) ценой договора понимается размер процентной ставки по кредиту. Проценты по Кредитной линии не должны превышать 10,8 (десяти целых восьми десятых) процентов годовых.</t>
  </si>
  <si>
    <t xml:space="preserve">                                          МП</t>
  </si>
  <si>
    <t>Поставка средств защиты растений производства компании "DuPont"</t>
  </si>
  <si>
    <t>Качество Товара должно соответствовать стандартам качества, принятым для данного вида Товара и действующим на территории Российской Федерации. Качество средств защиты растений подтверждается сертификатами, предусмотренными законодательством РФ, выданными соответствующими органами. Продукция поставляется в таре и упаковке, обеспечивающей ее сохранность при транспортировке и надлежащем хранении. Поставка продукции осуществляется партиями по заказам Заказчика.</t>
  </si>
  <si>
    <t>Рязанская обл.</t>
  </si>
  <si>
    <t xml:space="preserve">Качество поставляемых нефтепродуктов должно соответствовать действующим на территории Российской Федерации техническим регламентам, национальным (межгосударственным) стандартам (ГОСТ), стандартам организации (СТО), техническим условиям (ТУ) и удостоверяться паспортами (качества) изготовителя. Поставка нефтепродуктов по Договору производится на базисе поставки «франко-автоцистерна», "франко-пункт слива покупателя". Товар поставляется партиями по заявкам Покупателя. </t>
  </si>
  <si>
    <t xml:space="preserve">Минеральные удобрения </t>
  </si>
  <si>
    <t>Качество Товара должно соответствовать требованиям установленных в РФ стандартов качества (ГОСТ, ОСТ, ТУ) и приложенным по каждой товарной позиции Товара сертификатам соответствия, паспортам качества или иным аналогичным документам. Товар должен быть упакован в соответствии с требованиями утвержденных стандартов, способом, исключающим возможность его порчи, утраты и/или повреждения в период загрузки (разгрузки) и  транспортировки. Поставка Товара осуществляется отдельными партиями. Условия поставки Товара: СРТ станция назначения (в Тульской области), самовывоз автомобильным транспортом со склада Поставщика либо поставка автомобильным транспортом на склад Покупателя.</t>
  </si>
  <si>
    <t xml:space="preserve">на 2019 год (01.01.2019 г. - 31.12.2019 г.) </t>
  </si>
  <si>
    <t>2018 г.</t>
  </si>
  <si>
    <t>Объем оплаты договора в 2019 году, российских рублей</t>
  </si>
  <si>
    <t>1 квартал 2019 г.</t>
  </si>
  <si>
    <t xml:space="preserve">Выращенная сельскохозяйственная продукция поставляется Заказчику в счет авансовых поставок материальных ресурсов. Качество поставляемого зерна должно соответствовать требованиям ГОСТ 9353-2016, медико-биологическим, санитарным нормам и подтверждаться соответствующими документами установленного образца (сертификат соответствия или декларация с протоколом испытаний, справка о соблюдении регламентов применения пестицидов и пр. согласно проекту Договора).  </t>
  </si>
  <si>
    <t xml:space="preserve">Поставка зерна пшеницы продовольственной мягкой 4 класса урожая 2018 г   </t>
  </si>
  <si>
    <t xml:space="preserve">Поставка зерна пшеницы продовольственной мягкой 3 класса урожая 2018 г   </t>
  </si>
  <si>
    <t>Пшеница продовольственная мягкая 4 класса урожая 2018 г с показателями в соответствии с требованиями ГОСТ 9353-2016. Зерно должно быть в здоровом, негреющемся состоянии, без постороннего запаха, зараженность вредителями хлебных запасов не допускается. Качество поставляемого зерна должно подтверждаться соответствующими документами установленного образца. Приемка зерна по качеству производится с соблюдением требований, установленных «Инструкцией о порядке приемки продукции производственно-технического назначения и товаров народного потребления по качеству»  (Утв. Постановлением Госарбитража СССР от 25.04.66 г. № П-7 в ред. от 14.11.74 г.)</t>
  </si>
  <si>
    <t>Пшеница продовольственная мягкая 3 класса урожая 2018 г с показателями в соответствии с требованиями ГОСТ 9353-2016. Зерно должно быть в здоровом, негреющемся состоянии, без постороннего запаха, зараженность вредителями хлебных запасов не допускается. Качество поставляемого зерна должно подтверждаться соответствующими документами установленного образца. Приемка зерна по качеству производится с соблюдением требований, установленных «Инструкцией о порядке приемки продукции производственно-технического назначения и товаров народного потребления по качеству»  (Утв. Постановлением Госарбитража СССР от 25.04.66 г. № П-7 в ред. от 14.11.74 г.)</t>
  </si>
  <si>
    <t>Поставка зерна пшеницы мягкой 5 класса урожая 2019 г</t>
  </si>
  <si>
    <t>Пшеница на кормовые цели мягкая 5 класса урожая 2019 г. с показателями в соответствии с требованиями ГОСТ 9353-2016.  Зерно должно быть в здоровом, негреющемся состоянии, без постороннего запаха, зараженность вредителями хлебных запасов не допускается. Качество поставляемого зерна должно подтверждаться соответствующими документами установленного образца. Приемка зерна по качеству производится с соблюдением требований, установленных «Инструкцией о порядке приемки продукции производственно-технического назначения и товаров народного потребления по качеству»  (Утв. Постановлением Госарбитража СССР от 25.04.66 г. № П-7 в ред. от 14.11.74 г.)</t>
  </si>
  <si>
    <t xml:space="preserve">Поставка зерна пшеницы продовольственной мягкой 4 класса, урожая 2019 г   </t>
  </si>
  <si>
    <t>Пшеница продовольственная мягкая 4 класса урожая 2019 г. с показателями в соответствии с требованиями ГОСТ 9353-2016 на зерно пшеницы, предназначенное для использования в продовольственных целях.  Зерно должно быть в здоровом, негреющемся состоянии, без постороннего запаха, зараженность вредителями хлебных запасов не допускается. Качество поставляемого зерна должно подтверждаться соответствующими документами установленного образца. 
Приемка зерна по качеству производится с соблюдением требований, установленных «Инструкцией о порядке приемки продукции производственно-технического назначения и товаров народного потребления по качеству»  (Утв. Постановлением Госарбитража СССР от 25.04.66 г. № П-7 в ред. от 14.11.74 г.)</t>
  </si>
  <si>
    <t xml:space="preserve">Поставка зерна пшеницы продовольственной мягкой 3 класса урожая 2019 г   </t>
  </si>
  <si>
    <t>Пшеница продовольственная мягкая 3 класса урожая 2019 г. с показателями в соответствии с требованиями ГОСТ 9353-2016 на зерно пшеницы, предназначенное для использования в продовольственных целях. Зерно должно быть в здоровом, негреющемся состоянии, без постороннего запаха, зараженность вредителями хлебных запасов не допускается. Качество поставляемого зерна должно подтверждаться соответствующими документами установленного образца. 
Приемка зерна по качеству производится с соблюдением требований, установленных «Инструкцией о порядке приемки продукции производственно-технического назначения и товаров народного потребления по качеству»  (Утв. Постановлением Госарбитража СССР от 25.04.66 г. № П-7 в ред. от 14.11.74 г.)</t>
  </si>
  <si>
    <t>Кредитор обязуется открыть возобновляемую Кредитную линию и предоставить Заемщику Кредиты в размере и на условиях, указанных в Соглашении. Лимит задолженности по Кредитной линии: 60 000 000 рублей. Цель Кредитной линии: финансирование обычной хозяйственной деятельности на цели пополнения оборотных средств. Срок пользования кредитной линией: в течение календарного года с даты вступления соглашения в силу. Общий срок предоставления кредитов: 335 (Триста тридцать пять) дней с даты вступления соглашения в силу. Предоставление кредита осуществляется Кредитором в течение 3 (Трех) Рабочих дней после представления Заявления посредством зачисления Кредита на Расчетный счет Заемщика. Под начальной (максимальной) ценой договора понимается размер процентной ставки по кредиту. Проценты по Кредитной линии не должны превышать 11,5 (одиннадцати целых пяти десятых) процентов годовых.</t>
  </si>
  <si>
    <t>запрос предложений</t>
  </si>
  <si>
    <t>Кредитор обязуется открыть возобновляемую Кредитную линию и предоставить Заемщику Кредиты в размере и на условиях, указанных в Соглашении. Лимит задолженности по Кредитной линии: 126 000 000 рублей. Цель Кредитной линии: финансирование обычной хозяйственной деятельности на цели пополнения оборотных средств. Срок пользования кредитной линией: в течение календарного года с даты вступления соглашения в силу. Общий срок предоставления кредитов: 335 (Триста тридцать пять) дней с даты вступления соглашения в силу. Предоставление кредита осуществляется Кредитором в течение 3 (Трех) Рабочих дней после представления Заявления посредством зачисления Кредита на Расчетный счет Заемщика. Под начальной (максимальной) ценой договора понимается размер процентной ставки по кредиту. Проценты по Кредитной линии не должны превышать 11,5 (одиннадцати целых пяти десятых) процентов годовых.</t>
  </si>
  <si>
    <t>20.15.32.000</t>
  </si>
  <si>
    <t>Сульфат аммония</t>
  </si>
  <si>
    <t xml:space="preserve">Качество поставляемого удобрения должно соответствовать требованиям ГОСТ, ТУ и подтверждаться соответствующими документами. Продукция должна упаковываться в тару (биг-беги), отвечающую установленным требованиям и обеспечивающую сохранность  продукции при перевозке. Поставка осуществляется на условиях самовывоза автомобильным транспортом со склада Поставщика </t>
  </si>
  <si>
    <t>2 квартал 2019 г.</t>
  </si>
  <si>
    <t>3 квартал 2019 г.</t>
  </si>
  <si>
    <t>Поставка зерна пшеницы урожая 2020 года в региональный продовольственный фонд в счет авансовых поставок материальных ресурсов</t>
  </si>
  <si>
    <t>Поставка зерна ржи урожая 2020 года в региональный продовольственный фонд в счет авансовых поставок материальных ресурсов</t>
  </si>
  <si>
    <t>62.09</t>
  </si>
  <si>
    <t>62.02.30</t>
  </si>
  <si>
    <t>Услуги по информационному сопровождению и обновлению справочно-правовых систем «КонсультантПлюс»</t>
  </si>
  <si>
    <t>Исполнитель обязан обеспечить взаимодействие и совместимость информационных услуг с имеющимися у Заказчика экземплярами справочно-правовой системы КонсультантПлюс. Специальное лицензионное программное обеспечение, используемое Исполнителем для оказания услуг Заказчику, должно быть полностью совместимо с имеющимися у Заказчика экземплярами справочно-правовой системы КонсультантПлюс, а также с самостоятельно подготовленными на основании технологии КонсультантПлюс внутренними информационными ресурсами Заказчика (отдельные документы и подборки, перечни документов «на контроле», комментарии, технологические взаимосвязи собственных документов заказчика с системами КонсультантПлюс и т.д.).</t>
  </si>
  <si>
    <t>единица</t>
  </si>
  <si>
    <t xml:space="preserve">    (Ф.И.О., должность руководителя                                                                                                                                 (подпись)                                                   (дата утверждения)</t>
  </si>
  <si>
    <t>65.12.9</t>
  </si>
  <si>
    <t>65.12.49.000</t>
  </si>
  <si>
    <t>Услуги по страхованию транспортного средства  - SCANIA P380 CA6X4HSZ</t>
  </si>
  <si>
    <t xml:space="preserve">Страхование транспортного средства  - SCANIA P380 CA6X4HSZ.
Застрахованные риски: ущерб (мультидрайв), угон тс без документов и ключей. 
</t>
  </si>
  <si>
    <t>45.20.1</t>
  </si>
  <si>
    <t>Услуги по техническому обслуживанию и ремонту автомобилей</t>
  </si>
  <si>
    <t>Оказание услуг (выполнение работ) по диагностике, техническому обслуживанию и ремонту направляемых Заказчиком автомобилей, принадлежащих Заказчику на праве собственности, в течение срока действия Договора.</t>
  </si>
  <si>
    <t>в редакции Изменений № 1 от 08.02.2019 г, № 2 от 11.02.2019 г, № 3 от 18.02.2019 г, № 4 от 25.02.2019 г, № 5 от 11.03.2019 г, № 6 от 22.03.2019 г, № 7 от 26.03.2019 г, № 8 от 08.04.2019 г, № 9 от 16.04.2019 г, № 10 от 13.05.2019г, № 11 от 21.05.2019г, № 12 от 20.06.2019г, № 13 от 17.07.2019г</t>
  </si>
  <si>
    <r>
      <t xml:space="preserve">Генеральный директор АО "ТАЦ»                    Ю.А. Зябрева                              </t>
    </r>
    <r>
      <rPr>
        <u/>
        <sz val="12"/>
        <rFont val="Times New Roman"/>
        <family val="1"/>
        <charset val="204"/>
      </rPr>
      <t xml:space="preserve">                                   </t>
    </r>
    <r>
      <rPr>
        <sz val="12"/>
        <rFont val="Times New Roman"/>
        <family val="1"/>
        <charset val="204"/>
      </rPr>
      <t xml:space="preserve">                                                " 17 " июля  2019 г.</t>
    </r>
  </si>
  <si>
    <t>Щекинский   р-н Тульской обл.</t>
  </si>
  <si>
    <t>Услуги по хранению и отгрузке зерна в Щекинском р-не Тульской обл.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</si>
</sst>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0&quot;р.&quot;_-;\-* #,##0&quot;р.&quot;_-;_-* &quot;-&quot;&quot;р.&quot;_-;_-@_-"/>
    <numFmt numFmtId="44" formatCode="_-* #,##0.00&quot;р.&quot;_-;\-* #,##0.00&quot;р.&quot;_-;_-* &quot;-&quot;??&quot;р.&quot;_-;_-@_-"/>
    <numFmt numFmtId="43" formatCode="_-* #,##0.00_р_._-;\-* #,##0.00_р_._-;_-* &quot;-&quot;??_р_._-;_-@_-"/>
    <numFmt numFmtId="164" formatCode="#,##0.000"/>
    <numFmt numFmtId="165" formatCode="#,##0.00_р_."/>
    <numFmt numFmtId="166" formatCode="0.0%"/>
  </numFmts>
  <fonts count="18" x14ac:knownFonts="1">
    <font>
      <sz val="10"/>
      <name val="Arial Cyr"/>
      <charset val="204"/>
    </font>
    <font>
      <sz val="10"/>
      <name val="Arial Cyr"/>
      <charset val="204"/>
    </font>
    <font>
      <u/>
      <sz val="10"/>
      <color indexed="12"/>
      <name val="Arial Cyr"/>
      <charset val="204"/>
    </font>
    <font>
      <sz val="8"/>
      <name val="Arial Cyr"/>
      <charset val="204"/>
    </font>
    <font>
      <b/>
      <sz val="14"/>
      <name val="Times New Roman"/>
      <family val="1"/>
      <charset val="204"/>
    </font>
    <font>
      <b/>
      <i/>
      <sz val="12"/>
      <name val="Times New Roman"/>
      <family val="1"/>
      <charset val="204"/>
    </font>
    <font>
      <sz val="12"/>
      <name val="Times New Roman"/>
      <family val="1"/>
      <charset val="204"/>
    </font>
    <font>
      <u/>
      <sz val="12"/>
      <color indexed="12"/>
      <name val="Times New Roman"/>
      <family val="1"/>
      <charset val="204"/>
    </font>
    <font>
      <b/>
      <sz val="12"/>
      <name val="Times New Roman"/>
      <family val="1"/>
      <charset val="204"/>
    </font>
    <font>
      <sz val="10"/>
      <name val="Times New Roman"/>
      <family val="1"/>
      <charset val="204"/>
    </font>
    <font>
      <b/>
      <i/>
      <sz val="14"/>
      <name val="Times New Roman"/>
      <family val="1"/>
      <charset val="204"/>
    </font>
    <font>
      <sz val="11"/>
      <name val="Times New Roman"/>
      <family val="1"/>
      <charset val="204"/>
    </font>
    <font>
      <sz val="12"/>
      <name val="Arial CYR"/>
      <charset val="204"/>
    </font>
    <font>
      <b/>
      <sz val="12"/>
      <name val="Arial Cyr"/>
      <charset val="204"/>
    </font>
    <font>
      <u/>
      <sz val="12"/>
      <name val="Times New Roman"/>
      <family val="1"/>
      <charset val="204"/>
    </font>
    <font>
      <sz val="10"/>
      <name val="Courier New"/>
      <family val="3"/>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90">
    <xf numFmtId="0" fontId="0" fillId="0" borderId="0" xfId="0"/>
    <xf numFmtId="0" fontId="0" fillId="2" borderId="0" xfId="0" applyFill="1"/>
    <xf numFmtId="0" fontId="6" fillId="2" borderId="1" xfId="0" applyFont="1" applyFill="1" applyBorder="1" applyAlignment="1">
      <alignment horizontal="center" vertical="center" textRotation="90"/>
    </xf>
    <xf numFmtId="0" fontId="6" fillId="2" borderId="1" xfId="0" applyFont="1" applyFill="1" applyBorder="1" applyAlignment="1">
      <alignment horizontal="justify" vertical="center" wrapText="1"/>
    </xf>
    <xf numFmtId="3" fontId="6" fillId="2" borderId="1"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textRotation="90" wrapText="1"/>
    </xf>
    <xf numFmtId="0" fontId="5" fillId="2" borderId="3" xfId="0" applyFont="1" applyFill="1" applyBorder="1" applyAlignment="1">
      <alignment horizontal="center"/>
    </xf>
    <xf numFmtId="0" fontId="6" fillId="2" borderId="0" xfId="0" applyFont="1" applyFill="1"/>
    <xf numFmtId="0" fontId="8" fillId="2" borderId="0" xfId="0" applyFont="1" applyFill="1"/>
    <xf numFmtId="0" fontId="9" fillId="2" borderId="0" xfId="0" applyFont="1" applyFill="1"/>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xf>
    <xf numFmtId="0" fontId="12" fillId="2" borderId="0" xfId="0" applyFont="1" applyFill="1"/>
    <xf numFmtId="0" fontId="1" fillId="2" borderId="0" xfId="0" applyFont="1" applyFill="1"/>
    <xf numFmtId="0" fontId="0" fillId="2" borderId="0" xfId="0" applyFont="1" applyFill="1"/>
    <xf numFmtId="1" fontId="6" fillId="2" borderId="4" xfId="0" applyNumberFormat="1" applyFont="1" applyFill="1" applyBorder="1" applyAlignment="1">
      <alignment horizontal="center" vertical="center" wrapText="1"/>
    </xf>
    <xf numFmtId="166" fontId="13" fillId="2" borderId="0" xfId="2" applyNumberFormat="1" applyFont="1" applyFill="1"/>
    <xf numFmtId="0" fontId="13" fillId="2" borderId="0" xfId="0" applyFont="1" applyFill="1"/>
    <xf numFmtId="10" fontId="13" fillId="2" borderId="0" xfId="2" applyNumberFormat="1" applyFont="1" applyFill="1"/>
    <xf numFmtId="17" fontId="6" fillId="2" borderId="0" xfId="0" applyNumberFormat="1" applyFont="1" applyFill="1" applyBorder="1" applyAlignment="1">
      <alignment horizontal="center" vertical="center" wrapText="1"/>
    </xf>
    <xf numFmtId="0" fontId="6" fillId="2" borderId="0" xfId="0" applyFont="1" applyFill="1" applyBorder="1" applyAlignment="1">
      <alignment vertical="center" wrapText="1"/>
    </xf>
    <xf numFmtId="10" fontId="6" fillId="2" borderId="3" xfId="2" applyNumberFormat="1" applyFont="1" applyFill="1" applyBorder="1" applyAlignment="1">
      <alignment horizontal="left" vertical="center" wrapText="1"/>
    </xf>
    <xf numFmtId="17" fontId="6" fillId="2" borderId="0" xfId="0" applyNumberFormat="1" applyFont="1" applyFill="1" applyBorder="1" applyAlignment="1">
      <alignment horizontal="right" vertical="center" wrapText="1"/>
    </xf>
    <xf numFmtId="43" fontId="6" fillId="2" borderId="1" xfId="0" applyNumberFormat="1" applyFont="1" applyFill="1" applyBorder="1" applyAlignment="1">
      <alignment horizontal="center" vertical="center" wrapText="1"/>
    </xf>
    <xf numFmtId="43" fontId="13" fillId="2" borderId="0" xfId="0" applyNumberFormat="1" applyFont="1" applyFill="1"/>
    <xf numFmtId="43" fontId="1" fillId="2" borderId="0" xfId="0" applyNumberFormat="1" applyFont="1" applyFill="1"/>
    <xf numFmtId="44" fontId="14"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8" fillId="2" borderId="7" xfId="0" applyNumberFormat="1" applyFont="1" applyFill="1" applyBorder="1" applyAlignment="1"/>
    <xf numFmtId="0" fontId="6" fillId="2" borderId="7" xfId="0" applyNumberFormat="1" applyFont="1" applyFill="1" applyBorder="1" applyAlignment="1"/>
    <xf numFmtId="4" fontId="14" fillId="2" borderId="0" xfId="0" applyNumberFormat="1" applyFont="1" applyFill="1" applyBorder="1" applyAlignment="1">
      <alignment vertical="center"/>
    </xf>
    <xf numFmtId="44" fontId="14" fillId="2" borderId="0" xfId="0" applyNumberFormat="1" applyFont="1" applyFill="1" applyBorder="1" applyAlignment="1">
      <alignment vertical="center"/>
    </xf>
    <xf numFmtId="0" fontId="14" fillId="2" borderId="0" xfId="0" applyNumberFormat="1" applyFont="1" applyFill="1" applyBorder="1" applyAlignment="1"/>
    <xf numFmtId="0" fontId="9" fillId="2" borderId="0" xfId="0" applyFont="1" applyFill="1" applyAlignment="1">
      <alignment vertical="top"/>
    </xf>
    <xf numFmtId="0" fontId="15" fillId="2" borderId="0" xfId="0" applyFont="1" applyFill="1" applyAlignment="1">
      <alignment horizontal="justify" vertical="center"/>
    </xf>
    <xf numFmtId="1"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textRotation="90" wrapText="1"/>
    </xf>
    <xf numFmtId="0" fontId="6" fillId="3" borderId="1" xfId="0" applyFont="1" applyFill="1" applyBorder="1" applyAlignment="1">
      <alignment horizontal="justify" vertical="center" wrapText="1"/>
    </xf>
    <xf numFmtId="3" fontId="6" fillId="3" borderId="1" xfId="0" applyNumberFormat="1" applyFont="1" applyFill="1" applyBorder="1" applyAlignment="1">
      <alignment horizontal="center" vertical="center" wrapText="1"/>
    </xf>
    <xf numFmtId="43" fontId="6" fillId="3" borderId="1" xfId="0" applyNumberFormat="1" applyFont="1" applyFill="1" applyBorder="1" applyAlignment="1">
      <alignment horizontal="center" vertical="center" wrapText="1"/>
    </xf>
    <xf numFmtId="17" fontId="6"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textRotation="90"/>
    </xf>
    <xf numFmtId="1" fontId="6" fillId="3" borderId="4"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6" fillId="2" borderId="0" xfId="0" applyFont="1" applyFill="1" applyBorder="1" applyAlignment="1">
      <alignment horizontal="left" vertical="center" wrapText="1"/>
    </xf>
    <xf numFmtId="0" fontId="6" fillId="3" borderId="1" xfId="0" applyFont="1" applyFill="1" applyBorder="1" applyAlignment="1">
      <alignment horizontal="center" vertical="center" textRotation="90" wrapText="1"/>
    </xf>
    <xf numFmtId="0" fontId="6" fillId="3"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10" fontId="6" fillId="2" borderId="0" xfId="2" applyNumberFormat="1" applyFont="1" applyFill="1" applyBorder="1" applyAlignment="1">
      <alignment horizontal="left" vertical="center" wrapText="1"/>
    </xf>
    <xf numFmtId="0" fontId="11" fillId="2" borderId="0" xfId="0" applyFont="1" applyFill="1" applyBorder="1" applyAlignment="1">
      <alignment horizontal="center" vertical="center" wrapText="1"/>
    </xf>
    <xf numFmtId="0" fontId="9" fillId="4" borderId="1" xfId="0" applyFont="1" applyFill="1" applyBorder="1" applyAlignment="1">
      <alignment horizontal="center" vertical="center" wrapText="1"/>
    </xf>
    <xf numFmtId="43" fontId="6" fillId="4" borderId="1" xfId="0" applyNumberFormat="1" applyFont="1" applyFill="1" applyBorder="1" applyAlignment="1">
      <alignment horizontal="center" vertical="center" wrapText="1"/>
    </xf>
    <xf numFmtId="4" fontId="14" fillId="4" borderId="0" xfId="0" applyNumberFormat="1" applyFont="1" applyFill="1" applyBorder="1" applyAlignment="1">
      <alignment vertical="center"/>
    </xf>
    <xf numFmtId="0" fontId="6" fillId="5" borderId="9"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6" fillId="5" borderId="1" xfId="0" applyFont="1" applyFill="1" applyBorder="1" applyAlignment="1">
      <alignment vertical="center" wrapText="1"/>
    </xf>
    <xf numFmtId="43" fontId="6" fillId="5" borderId="1" xfId="0" applyNumberFormat="1" applyFont="1" applyFill="1" applyBorder="1" applyAlignment="1">
      <alignment horizontal="center" vertical="center" wrapText="1"/>
    </xf>
    <xf numFmtId="44" fontId="14" fillId="5" borderId="0" xfId="0" applyNumberFormat="1" applyFont="1" applyFill="1" applyBorder="1" applyAlignment="1">
      <alignment vertical="center"/>
    </xf>
    <xf numFmtId="1"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textRotation="90"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3" fontId="6" fillId="5" borderId="1" xfId="0" applyNumberFormat="1" applyFont="1" applyFill="1" applyBorder="1" applyAlignment="1">
      <alignment horizontal="center" vertical="center" wrapText="1"/>
    </xf>
    <xf numFmtId="17" fontId="6" fillId="5" borderId="1"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1" fontId="6" fillId="5" borderId="4" xfId="0" applyNumberFormat="1" applyFont="1" applyFill="1" applyBorder="1" applyAlignment="1">
      <alignment horizontal="center" vertical="center" wrapText="1"/>
    </xf>
    <xf numFmtId="0" fontId="6" fillId="5" borderId="1" xfId="0" applyFont="1" applyFill="1" applyBorder="1" applyAlignment="1">
      <alignment horizontal="center" vertical="center" textRotation="90"/>
    </xf>
    <xf numFmtId="44" fontId="14" fillId="3" borderId="0" xfId="0" applyNumberFormat="1" applyFont="1" applyFill="1" applyBorder="1" applyAlignment="1">
      <alignment horizontal="center" vertical="center" wrapText="1"/>
    </xf>
    <xf numFmtId="17" fontId="6" fillId="3" borderId="0" xfId="0" applyNumberFormat="1" applyFont="1" applyFill="1" applyBorder="1" applyAlignment="1">
      <alignment horizontal="right" vertical="center" wrapText="1"/>
    </xf>
    <xf numFmtId="10" fontId="6" fillId="3" borderId="0" xfId="2" applyNumberFormat="1"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textRotation="90" wrapText="1"/>
    </xf>
    <xf numFmtId="0" fontId="6" fillId="3" borderId="1" xfId="0" applyFont="1" applyFill="1" applyBorder="1" applyAlignment="1">
      <alignment horizontal="center" vertical="center" textRotation="90"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textRotation="90" wrapText="1"/>
    </xf>
    <xf numFmtId="2" fontId="6" fillId="3" borderId="1" xfId="0" applyNumberFormat="1" applyFont="1" applyFill="1" applyBorder="1" applyAlignment="1">
      <alignment horizontal="center" vertical="center" wrapText="1"/>
    </xf>
    <xf numFmtId="0" fontId="9" fillId="3" borderId="0" xfId="0" applyFont="1" applyFill="1"/>
    <xf numFmtId="0" fontId="6" fillId="3"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0" fontId="6" fillId="3" borderId="1" xfId="0" applyFont="1" applyFill="1" applyBorder="1" applyAlignment="1">
      <alignment horizontal="center" vertical="center" wrapText="1"/>
    </xf>
    <xf numFmtId="0" fontId="9" fillId="2" borderId="0" xfId="0" applyFont="1" applyFill="1" applyAlignment="1">
      <alignment horizontal="left" vertical="center"/>
    </xf>
    <xf numFmtId="0" fontId="6" fillId="2" borderId="0" xfId="0" applyFont="1" applyFill="1" applyAlignment="1">
      <alignment horizontal="left"/>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0" fontId="6" fillId="3" borderId="1" xfId="0" applyFont="1" applyFill="1" applyBorder="1" applyAlignment="1">
      <alignment horizontal="center" vertical="center" wrapText="1"/>
    </xf>
    <xf numFmtId="1" fontId="6" fillId="5"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6" fillId="0" borderId="1" xfId="0" applyFont="1" applyBorder="1" applyAlignment="1">
      <alignment horizontal="justify" vertical="center" wrapText="1"/>
    </xf>
    <xf numFmtId="0" fontId="6" fillId="3" borderId="1" xfId="0" applyFont="1" applyFill="1" applyBorder="1" applyAlignment="1">
      <alignment horizontal="center" vertical="center" textRotation="90"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6" fillId="3" borderId="1" xfId="0" applyFont="1" applyFill="1" applyBorder="1" applyAlignment="1">
      <alignment horizontal="center" vertical="center" textRotation="90"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textRotation="90"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6" fillId="3" borderId="1" xfId="0" applyFont="1" applyFill="1" applyBorder="1" applyAlignment="1">
      <alignment horizontal="center" vertical="center" textRotation="90"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0" fontId="6" fillId="2"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textRotation="90" wrapText="1"/>
    </xf>
    <xf numFmtId="0" fontId="6" fillId="3" borderId="1" xfId="0" applyFont="1" applyFill="1" applyBorder="1" applyAlignment="1">
      <alignment horizontal="center" vertical="center"/>
    </xf>
    <xf numFmtId="0" fontId="6" fillId="5" borderId="1" xfId="0" applyFont="1" applyFill="1" applyBorder="1" applyAlignment="1">
      <alignment horizontal="center" vertical="center"/>
    </xf>
    <xf numFmtId="1" fontId="6" fillId="5" borderId="4" xfId="0" applyNumberFormat="1" applyFont="1" applyFill="1" applyBorder="1" applyAlignment="1">
      <alignment horizontal="center" vertical="center"/>
    </xf>
    <xf numFmtId="0" fontId="6" fillId="3" borderId="1" xfId="0" applyFont="1" applyFill="1" applyBorder="1" applyAlignment="1">
      <alignment horizontal="center" vertical="center" textRotation="90" wrapText="1"/>
    </xf>
    <xf numFmtId="0" fontId="6" fillId="3" borderId="1" xfId="0" applyFont="1" applyFill="1" applyBorder="1" applyAlignment="1">
      <alignment horizontal="center" vertical="center" wrapText="1"/>
    </xf>
    <xf numFmtId="1" fontId="6" fillId="2" borderId="4" xfId="0" applyNumberFormat="1" applyFont="1" applyFill="1" applyBorder="1" applyAlignment="1">
      <alignment horizontal="center" vertical="center"/>
    </xf>
    <xf numFmtId="2" fontId="6" fillId="2" borderId="1" xfId="0"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8" xfId="0" applyFont="1" applyFill="1" applyBorder="1" applyAlignment="1">
      <alignment horizontal="center" vertical="center" textRotation="90" wrapText="1"/>
    </xf>
    <xf numFmtId="0" fontId="6" fillId="3" borderId="10" xfId="0" applyFont="1" applyFill="1" applyBorder="1" applyAlignment="1">
      <alignment horizontal="center" vertical="center" textRotation="90" wrapText="1"/>
    </xf>
    <xf numFmtId="0" fontId="6" fillId="3" borderId="9" xfId="0" applyFont="1" applyFill="1" applyBorder="1" applyAlignment="1">
      <alignment horizontal="center" vertical="center" textRotation="90" wrapText="1"/>
    </xf>
    <xf numFmtId="0" fontId="10" fillId="2" borderId="0" xfId="0" applyFont="1" applyFill="1" applyAlignment="1">
      <alignment horizontal="center" vertical="center" wrapText="1"/>
    </xf>
    <xf numFmtId="0" fontId="6" fillId="2" borderId="0" xfId="0" applyFont="1" applyFill="1" applyBorder="1" applyAlignment="1">
      <alignment horizontal="left"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10" fillId="2" borderId="0" xfId="0" applyFont="1" applyFill="1" applyBorder="1" applyAlignment="1">
      <alignment horizont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textRotation="90" wrapText="1"/>
    </xf>
    <xf numFmtId="0" fontId="6" fillId="2" borderId="9" xfId="0" applyFont="1" applyFill="1" applyBorder="1" applyAlignment="1">
      <alignment horizontal="center" vertical="center" textRotation="90" wrapText="1"/>
    </xf>
    <xf numFmtId="42" fontId="13" fillId="2" borderId="0" xfId="0" applyNumberFormat="1" applyFont="1" applyFill="1" applyAlignment="1"/>
    <xf numFmtId="0" fontId="0" fillId="2" borderId="0" xfId="0" applyFill="1" applyAlignment="1"/>
    <xf numFmtId="0" fontId="6" fillId="2" borderId="1" xfId="0" applyFont="1" applyFill="1" applyBorder="1" applyAlignment="1">
      <alignment horizontal="center" vertical="center" textRotation="90" wrapText="1"/>
    </xf>
    <xf numFmtId="0" fontId="9" fillId="2" borderId="0" xfId="0" applyFont="1" applyFill="1" applyAlignment="1">
      <alignment horizontal="lef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0" xfId="0" applyFont="1" applyFill="1" applyAlignment="1">
      <alignment horizontal="left"/>
    </xf>
    <xf numFmtId="0" fontId="4" fillId="2" borderId="0" xfId="0" applyFont="1" applyFill="1" applyAlignment="1">
      <alignment horizontal="center"/>
    </xf>
    <xf numFmtId="0" fontId="10" fillId="2" borderId="0" xfId="0" applyFont="1" applyFill="1" applyAlignment="1">
      <alignment horizontal="center"/>
    </xf>
    <xf numFmtId="0" fontId="7" fillId="2" borderId="4" xfId="1" applyFont="1" applyFill="1" applyBorder="1" applyAlignment="1" applyProtection="1">
      <alignment horizontal="left" vertical="top" wrapText="1"/>
    </xf>
    <xf numFmtId="0" fontId="7" fillId="2" borderId="5" xfId="1" applyFont="1" applyFill="1" applyBorder="1" applyAlignment="1" applyProtection="1">
      <alignment horizontal="left" vertical="top" wrapText="1"/>
    </xf>
    <xf numFmtId="0" fontId="7" fillId="2" borderId="6" xfId="1" applyFont="1" applyFill="1" applyBorder="1" applyAlignment="1" applyProtection="1">
      <alignment horizontal="left" vertical="top" wrapText="1"/>
    </xf>
    <xf numFmtId="0" fontId="6" fillId="3" borderId="1" xfId="0" applyFont="1" applyFill="1" applyBorder="1" applyAlignment="1">
      <alignment horizontal="center" vertical="center" textRotation="90" wrapText="1"/>
    </xf>
    <xf numFmtId="0" fontId="6" fillId="3" borderId="1" xfId="0" applyFont="1" applyFill="1" applyBorder="1" applyAlignment="1">
      <alignment horizontal="center" vertical="center" wrapText="1"/>
    </xf>
    <xf numFmtId="43" fontId="13" fillId="2" borderId="0" xfId="0" applyNumberFormat="1" applyFont="1" applyFill="1" applyAlignment="1">
      <alignment horizontal="center"/>
    </xf>
    <xf numFmtId="43" fontId="13" fillId="2" borderId="0" xfId="0" applyNumberFormat="1" applyFont="1" applyFill="1" applyAlignment="1">
      <alignment horizontal="center" vertical="center"/>
    </xf>
    <xf numFmtId="10" fontId="13" fillId="2" borderId="0" xfId="2" applyNumberFormat="1" applyFont="1" applyFill="1" applyAlignment="1">
      <alignment horizontal="center"/>
    </xf>
  </cellXfs>
  <cellStyles count="3">
    <cellStyle name="Гиперссылка" xfId="1" builtinId="8"/>
    <cellStyle name="Обычный" xfId="0" builtinId="0"/>
    <cellStyle name="Процентный"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grocentr5@mail.ru"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G207"/>
  <sheetViews>
    <sheetView tabSelected="1" view="pageBreakPreview" topLeftCell="A65" zoomScale="75" zoomScaleNormal="100" zoomScaleSheetLayoutView="75" workbookViewId="0">
      <selection activeCell="M75" sqref="M75"/>
    </sheetView>
  </sheetViews>
  <sheetFormatPr defaultRowHeight="12.75" x14ac:dyDescent="0.2"/>
  <cols>
    <col min="1" max="1" width="6.5703125" style="1" customWidth="1"/>
    <col min="2" max="2" width="5.7109375" style="1" customWidth="1"/>
    <col min="3" max="3" width="7" style="1" customWidth="1"/>
    <col min="4" max="4" width="22.140625" style="1" customWidth="1"/>
    <col min="5" max="5" width="64" style="1" customWidth="1"/>
    <col min="6" max="6" width="4.85546875" style="1" customWidth="1"/>
    <col min="7" max="7" width="6" style="1" customWidth="1"/>
    <col min="8" max="8" width="14" style="1" customWidth="1"/>
    <col min="9" max="9" width="7.5703125" style="1" customWidth="1"/>
    <col min="10" max="10" width="14.7109375" style="1" customWidth="1"/>
    <col min="11" max="12" width="19.5703125" style="1" customWidth="1"/>
    <col min="13" max="13" width="7.28515625" style="1" customWidth="1"/>
    <col min="14" max="14" width="16.28515625" style="1" customWidth="1"/>
    <col min="15" max="15" width="8.140625" style="1" customWidth="1"/>
    <col min="16" max="16" width="19.140625" style="1" customWidth="1"/>
    <col min="17" max="17" width="14.85546875" style="1" customWidth="1"/>
    <col min="18" max="18" width="10" style="1" customWidth="1"/>
    <col min="19" max="19" width="17" style="1" customWidth="1"/>
    <col min="20" max="20" width="8.28515625" style="1" customWidth="1"/>
    <col min="21" max="16384" width="9.140625" style="1"/>
  </cols>
  <sheetData>
    <row r="1" spans="1:20" ht="18.75" x14ac:dyDescent="0.3">
      <c r="A1" s="180" t="s">
        <v>0</v>
      </c>
      <c r="B1" s="180"/>
      <c r="C1" s="180"/>
      <c r="D1" s="180"/>
      <c r="E1" s="180"/>
      <c r="F1" s="180"/>
      <c r="G1" s="180"/>
      <c r="H1" s="180"/>
      <c r="I1" s="180"/>
      <c r="J1" s="180"/>
      <c r="K1" s="180"/>
      <c r="L1" s="180"/>
      <c r="M1" s="180"/>
      <c r="N1" s="180"/>
      <c r="O1" s="180"/>
      <c r="P1" s="180"/>
      <c r="Q1" s="180"/>
      <c r="R1" s="180"/>
      <c r="S1" s="180"/>
      <c r="T1" s="180"/>
    </row>
    <row r="2" spans="1:20" ht="19.5" x14ac:dyDescent="0.35">
      <c r="A2" s="181" t="s">
        <v>119</v>
      </c>
      <c r="B2" s="180"/>
      <c r="C2" s="180"/>
      <c r="D2" s="180"/>
      <c r="E2" s="180"/>
      <c r="F2" s="180"/>
      <c r="G2" s="180"/>
      <c r="H2" s="180"/>
      <c r="I2" s="180"/>
      <c r="J2" s="180"/>
      <c r="K2" s="180"/>
      <c r="L2" s="180"/>
      <c r="M2" s="180"/>
      <c r="N2" s="180"/>
      <c r="O2" s="180"/>
      <c r="P2" s="180"/>
      <c r="Q2" s="180"/>
      <c r="R2" s="180"/>
      <c r="S2" s="180"/>
      <c r="T2" s="180"/>
    </row>
    <row r="3" spans="1:20" ht="52.5" customHeight="1" x14ac:dyDescent="0.2">
      <c r="A3" s="155" t="s">
        <v>157</v>
      </c>
      <c r="B3" s="155"/>
      <c r="C3" s="155"/>
      <c r="D3" s="155"/>
      <c r="E3" s="155"/>
      <c r="F3" s="155"/>
      <c r="G3" s="155"/>
      <c r="H3" s="155"/>
      <c r="I3" s="155"/>
      <c r="J3" s="155"/>
      <c r="K3" s="155"/>
      <c r="L3" s="155"/>
      <c r="M3" s="155"/>
      <c r="N3" s="155"/>
      <c r="O3" s="155"/>
      <c r="P3" s="155"/>
      <c r="Q3" s="155"/>
      <c r="R3" s="155"/>
      <c r="S3" s="155"/>
      <c r="T3" s="155"/>
    </row>
    <row r="4" spans="1:20" ht="15.75" customHeight="1" x14ac:dyDescent="0.35">
      <c r="A4" s="167"/>
      <c r="B4" s="167"/>
      <c r="C4" s="167"/>
      <c r="D4" s="167"/>
      <c r="E4" s="167"/>
      <c r="F4" s="167"/>
      <c r="G4" s="167"/>
      <c r="H4" s="167"/>
      <c r="I4" s="167"/>
      <c r="J4" s="167"/>
      <c r="K4" s="167"/>
      <c r="L4" s="167"/>
      <c r="M4" s="167"/>
      <c r="N4" s="167"/>
      <c r="O4" s="167"/>
      <c r="P4" s="167"/>
      <c r="Q4" s="167"/>
      <c r="R4" s="167"/>
      <c r="S4" s="167"/>
      <c r="T4" s="167"/>
    </row>
    <row r="5" spans="1:20" ht="17.25" customHeight="1" x14ac:dyDescent="0.25">
      <c r="A5" s="7"/>
      <c r="B5" s="7"/>
      <c r="C5" s="7"/>
      <c r="D5" s="7"/>
      <c r="E5" s="7"/>
      <c r="F5" s="7"/>
      <c r="G5" s="7"/>
      <c r="H5" s="7"/>
      <c r="I5" s="7"/>
      <c r="J5" s="7"/>
      <c r="K5" s="7"/>
      <c r="L5" s="7"/>
      <c r="M5" s="7"/>
      <c r="N5" s="7"/>
      <c r="O5" s="7"/>
      <c r="P5" s="7"/>
      <c r="Q5" s="7"/>
      <c r="R5" s="7"/>
      <c r="S5" s="7"/>
      <c r="T5" s="7"/>
    </row>
    <row r="6" spans="1:20" ht="15.75" x14ac:dyDescent="0.2">
      <c r="A6" s="164" t="s">
        <v>1</v>
      </c>
      <c r="B6" s="165"/>
      <c r="C6" s="165"/>
      <c r="D6" s="165"/>
      <c r="E6" s="166"/>
      <c r="F6" s="164" t="s">
        <v>44</v>
      </c>
      <c r="G6" s="165"/>
      <c r="H6" s="165"/>
      <c r="I6" s="165"/>
      <c r="J6" s="165"/>
      <c r="K6" s="165"/>
      <c r="L6" s="165"/>
      <c r="M6" s="165"/>
      <c r="N6" s="165"/>
      <c r="O6" s="165"/>
      <c r="P6" s="165"/>
      <c r="Q6" s="165"/>
      <c r="R6" s="165"/>
      <c r="S6" s="165"/>
      <c r="T6" s="166"/>
    </row>
    <row r="7" spans="1:20" ht="15.75" x14ac:dyDescent="0.2">
      <c r="A7" s="164" t="s">
        <v>2</v>
      </c>
      <c r="B7" s="165"/>
      <c r="C7" s="165"/>
      <c r="D7" s="165"/>
      <c r="E7" s="166"/>
      <c r="F7" s="164" t="s">
        <v>54</v>
      </c>
      <c r="G7" s="165"/>
      <c r="H7" s="165"/>
      <c r="I7" s="165"/>
      <c r="J7" s="165"/>
      <c r="K7" s="165"/>
      <c r="L7" s="165"/>
      <c r="M7" s="165"/>
      <c r="N7" s="165"/>
      <c r="O7" s="165"/>
      <c r="P7" s="165"/>
      <c r="Q7" s="165"/>
      <c r="R7" s="165"/>
      <c r="S7" s="165"/>
      <c r="T7" s="166"/>
    </row>
    <row r="8" spans="1:20" ht="15.75" x14ac:dyDescent="0.2">
      <c r="A8" s="164" t="s">
        <v>3</v>
      </c>
      <c r="B8" s="165"/>
      <c r="C8" s="165"/>
      <c r="D8" s="165"/>
      <c r="E8" s="166"/>
      <c r="F8" s="164" t="s">
        <v>55</v>
      </c>
      <c r="G8" s="165"/>
      <c r="H8" s="165"/>
      <c r="I8" s="165"/>
      <c r="J8" s="165"/>
      <c r="K8" s="165"/>
      <c r="L8" s="165"/>
      <c r="M8" s="165"/>
      <c r="N8" s="165"/>
      <c r="O8" s="165"/>
      <c r="P8" s="165"/>
      <c r="Q8" s="165"/>
      <c r="R8" s="165"/>
      <c r="S8" s="165"/>
      <c r="T8" s="166"/>
    </row>
    <row r="9" spans="1:20" ht="15.75" x14ac:dyDescent="0.2">
      <c r="A9" s="164" t="s">
        <v>4</v>
      </c>
      <c r="B9" s="165"/>
      <c r="C9" s="165"/>
      <c r="D9" s="165"/>
      <c r="E9" s="166"/>
      <c r="F9" s="182" t="s">
        <v>60</v>
      </c>
      <c r="G9" s="183"/>
      <c r="H9" s="183"/>
      <c r="I9" s="183"/>
      <c r="J9" s="183"/>
      <c r="K9" s="183"/>
      <c r="L9" s="183"/>
      <c r="M9" s="183"/>
      <c r="N9" s="183"/>
      <c r="O9" s="183"/>
      <c r="P9" s="183"/>
      <c r="Q9" s="183"/>
      <c r="R9" s="183"/>
      <c r="S9" s="183"/>
      <c r="T9" s="184"/>
    </row>
    <row r="10" spans="1:20" ht="15.75" x14ac:dyDescent="0.2">
      <c r="A10" s="164" t="s">
        <v>5</v>
      </c>
      <c r="B10" s="165"/>
      <c r="C10" s="165"/>
      <c r="D10" s="165"/>
      <c r="E10" s="166"/>
      <c r="F10" s="164">
        <v>7106015659</v>
      </c>
      <c r="G10" s="165"/>
      <c r="H10" s="165"/>
      <c r="I10" s="165"/>
      <c r="J10" s="165"/>
      <c r="K10" s="165"/>
      <c r="L10" s="165"/>
      <c r="M10" s="165"/>
      <c r="N10" s="165"/>
      <c r="O10" s="165"/>
      <c r="P10" s="165"/>
      <c r="Q10" s="165"/>
      <c r="R10" s="165"/>
      <c r="S10" s="165"/>
      <c r="T10" s="166"/>
    </row>
    <row r="11" spans="1:20" ht="15.75" x14ac:dyDescent="0.2">
      <c r="A11" s="164" t="s">
        <v>6</v>
      </c>
      <c r="B11" s="165"/>
      <c r="C11" s="165"/>
      <c r="D11" s="165"/>
      <c r="E11" s="166"/>
      <c r="F11" s="164">
        <v>710701001</v>
      </c>
      <c r="G11" s="165"/>
      <c r="H11" s="165"/>
      <c r="I11" s="165"/>
      <c r="J11" s="165"/>
      <c r="K11" s="165"/>
      <c r="L11" s="165"/>
      <c r="M11" s="165"/>
      <c r="N11" s="165"/>
      <c r="O11" s="165"/>
      <c r="P11" s="165"/>
      <c r="Q11" s="165"/>
      <c r="R11" s="165"/>
      <c r="S11" s="165"/>
      <c r="T11" s="166"/>
    </row>
    <row r="12" spans="1:20" ht="15.75" x14ac:dyDescent="0.2">
      <c r="A12" s="164" t="s">
        <v>7</v>
      </c>
      <c r="B12" s="165"/>
      <c r="C12" s="165"/>
      <c r="D12" s="165"/>
      <c r="E12" s="166"/>
      <c r="F12" s="164">
        <v>70401380</v>
      </c>
      <c r="G12" s="165"/>
      <c r="H12" s="165"/>
      <c r="I12" s="165"/>
      <c r="J12" s="165"/>
      <c r="K12" s="165"/>
      <c r="L12" s="165"/>
      <c r="M12" s="165"/>
      <c r="N12" s="165"/>
      <c r="O12" s="165"/>
      <c r="P12" s="165"/>
      <c r="Q12" s="165"/>
      <c r="R12" s="165"/>
      <c r="S12" s="165"/>
      <c r="T12" s="166"/>
    </row>
    <row r="13" spans="1:20" ht="15.75" x14ac:dyDescent="0.25">
      <c r="A13" s="8"/>
      <c r="B13" s="9"/>
      <c r="C13" s="8"/>
      <c r="D13" s="8"/>
      <c r="E13" s="8"/>
      <c r="F13" s="8"/>
      <c r="G13" s="8"/>
      <c r="H13" s="8"/>
      <c r="I13" s="8"/>
      <c r="J13" s="8"/>
      <c r="K13" s="8"/>
      <c r="L13" s="8"/>
      <c r="M13" s="8"/>
      <c r="N13" s="8"/>
      <c r="O13" s="8"/>
      <c r="P13" s="8"/>
      <c r="Q13" s="8"/>
      <c r="R13" s="8"/>
      <c r="S13" s="8"/>
      <c r="T13" s="8"/>
    </row>
    <row r="14" spans="1:20" ht="15.75" x14ac:dyDescent="0.2">
      <c r="A14" s="173" t="s">
        <v>8</v>
      </c>
      <c r="B14" s="173" t="s">
        <v>67</v>
      </c>
      <c r="C14" s="173" t="s">
        <v>68</v>
      </c>
      <c r="D14" s="168" t="s">
        <v>9</v>
      </c>
      <c r="E14" s="168"/>
      <c r="F14" s="168"/>
      <c r="G14" s="168"/>
      <c r="H14" s="168"/>
      <c r="I14" s="168"/>
      <c r="J14" s="168"/>
      <c r="K14" s="168"/>
      <c r="L14" s="168"/>
      <c r="M14" s="168"/>
      <c r="N14" s="168"/>
      <c r="O14" s="168"/>
      <c r="P14" s="168"/>
      <c r="Q14" s="168"/>
      <c r="R14" s="168"/>
      <c r="S14" s="168" t="s">
        <v>10</v>
      </c>
      <c r="T14" s="169" t="s">
        <v>11</v>
      </c>
    </row>
    <row r="15" spans="1:20" s="10" customFormat="1" ht="65.25" customHeight="1" x14ac:dyDescent="0.2">
      <c r="A15" s="173"/>
      <c r="B15" s="173"/>
      <c r="C15" s="173"/>
      <c r="D15" s="168" t="s">
        <v>12</v>
      </c>
      <c r="E15" s="168" t="s">
        <v>13</v>
      </c>
      <c r="F15" s="168" t="s">
        <v>14</v>
      </c>
      <c r="G15" s="168"/>
      <c r="H15" s="168" t="s">
        <v>15</v>
      </c>
      <c r="I15" s="168" t="s">
        <v>39</v>
      </c>
      <c r="J15" s="168"/>
      <c r="K15" s="168" t="s">
        <v>105</v>
      </c>
      <c r="L15" s="157" t="s">
        <v>121</v>
      </c>
      <c r="M15" s="160" t="s">
        <v>102</v>
      </c>
      <c r="N15" s="161"/>
      <c r="O15" s="162" t="s">
        <v>104</v>
      </c>
      <c r="P15" s="163"/>
      <c r="Q15" s="168" t="s">
        <v>16</v>
      </c>
      <c r="R15" s="168"/>
      <c r="S15" s="168"/>
      <c r="T15" s="170"/>
    </row>
    <row r="16" spans="1:20" s="10" customFormat="1" ht="115.5" customHeight="1" x14ac:dyDescent="0.2">
      <c r="A16" s="173"/>
      <c r="B16" s="173"/>
      <c r="C16" s="173"/>
      <c r="D16" s="168"/>
      <c r="E16" s="168"/>
      <c r="F16" s="51" t="s">
        <v>17</v>
      </c>
      <c r="G16" s="51" t="s">
        <v>18</v>
      </c>
      <c r="H16" s="168"/>
      <c r="I16" s="51" t="s">
        <v>19</v>
      </c>
      <c r="J16" s="51" t="s">
        <v>18</v>
      </c>
      <c r="K16" s="168"/>
      <c r="L16" s="158"/>
      <c r="M16" s="73" t="s">
        <v>21</v>
      </c>
      <c r="N16" s="73" t="s">
        <v>106</v>
      </c>
      <c r="O16" s="61" t="s">
        <v>21</v>
      </c>
      <c r="P16" s="62" t="s">
        <v>107</v>
      </c>
      <c r="Q16" s="50" t="s">
        <v>108</v>
      </c>
      <c r="R16" s="50" t="s">
        <v>20</v>
      </c>
      <c r="S16" s="168"/>
      <c r="T16" s="50" t="s">
        <v>21</v>
      </c>
    </row>
    <row r="17" spans="1:20" s="10" customFormat="1" ht="15.75" x14ac:dyDescent="0.2">
      <c r="A17" s="11">
        <v>1</v>
      </c>
      <c r="B17" s="12">
        <v>2</v>
      </c>
      <c r="C17" s="12">
        <v>3</v>
      </c>
      <c r="D17" s="12">
        <v>4</v>
      </c>
      <c r="E17" s="12">
        <v>5</v>
      </c>
      <c r="F17" s="12">
        <v>6</v>
      </c>
      <c r="G17" s="12">
        <v>7</v>
      </c>
      <c r="H17" s="12">
        <v>8</v>
      </c>
      <c r="I17" s="12">
        <v>9</v>
      </c>
      <c r="J17" s="12">
        <v>10</v>
      </c>
      <c r="K17" s="12">
        <v>11</v>
      </c>
      <c r="L17" s="58"/>
      <c r="M17" s="44"/>
      <c r="N17" s="44"/>
      <c r="O17" s="63"/>
      <c r="P17" s="64"/>
      <c r="Q17" s="12">
        <v>12</v>
      </c>
      <c r="R17" s="12">
        <v>13</v>
      </c>
      <c r="S17" s="12">
        <v>14</v>
      </c>
      <c r="T17" s="12">
        <v>15</v>
      </c>
    </row>
    <row r="18" spans="1:20" s="10" customFormat="1" ht="27" customHeight="1" x14ac:dyDescent="0.2">
      <c r="A18" s="159" t="s">
        <v>120</v>
      </c>
      <c r="B18" s="159"/>
      <c r="C18" s="159"/>
      <c r="D18" s="159"/>
      <c r="E18" s="159"/>
      <c r="F18" s="159"/>
      <c r="G18" s="159"/>
      <c r="H18" s="159"/>
      <c r="I18" s="159"/>
      <c r="J18" s="159"/>
      <c r="K18" s="159"/>
      <c r="L18" s="159"/>
      <c r="M18" s="159"/>
      <c r="N18" s="159"/>
      <c r="O18" s="159"/>
      <c r="P18" s="159"/>
      <c r="Q18" s="159"/>
      <c r="R18" s="159"/>
      <c r="S18" s="159"/>
      <c r="T18" s="159"/>
    </row>
    <row r="19" spans="1:20" ht="250.5" customHeight="1" x14ac:dyDescent="0.2">
      <c r="A19" s="18">
        <f>34</f>
        <v>34</v>
      </c>
      <c r="B19" s="2" t="s">
        <v>69</v>
      </c>
      <c r="C19" s="6" t="s">
        <v>74</v>
      </c>
      <c r="D19" s="112" t="s">
        <v>56</v>
      </c>
      <c r="E19" s="3" t="s">
        <v>65</v>
      </c>
      <c r="F19" s="112">
        <v>876</v>
      </c>
      <c r="G19" s="111" t="s">
        <v>50</v>
      </c>
      <c r="H19" s="4">
        <v>1</v>
      </c>
      <c r="I19" s="112">
        <v>70</v>
      </c>
      <c r="J19" s="112" t="s">
        <v>29</v>
      </c>
      <c r="K19" s="26">
        <v>3161950.42</v>
      </c>
      <c r="L19" s="59">
        <f>K19</f>
        <v>3161950.42</v>
      </c>
      <c r="M19" s="42" t="s">
        <v>26</v>
      </c>
      <c r="N19" s="42" t="str">
        <f t="shared" ref="N19:N25" si="0">IF(M19="да",L19,"-")</f>
        <v>-</v>
      </c>
      <c r="O19" s="65" t="s">
        <v>26</v>
      </c>
      <c r="P19" s="65" t="str">
        <f t="shared" ref="P19:P25" si="1">IF(O19="да",L19,"-")</f>
        <v>-</v>
      </c>
      <c r="Q19" s="5">
        <v>43292</v>
      </c>
      <c r="R19" s="5">
        <v>43555</v>
      </c>
      <c r="S19" s="112" t="s">
        <v>25</v>
      </c>
      <c r="T19" s="112" t="s">
        <v>26</v>
      </c>
    </row>
    <row r="20" spans="1:20" ht="83.25" customHeight="1" x14ac:dyDescent="0.2">
      <c r="A20" s="46">
        <f>75</f>
        <v>75</v>
      </c>
      <c r="B20" s="185" t="s">
        <v>61</v>
      </c>
      <c r="C20" s="185" t="s">
        <v>79</v>
      </c>
      <c r="D20" s="109" t="s">
        <v>42</v>
      </c>
      <c r="E20" s="186" t="s">
        <v>62</v>
      </c>
      <c r="F20" s="186">
        <v>168</v>
      </c>
      <c r="G20" s="185" t="s">
        <v>28</v>
      </c>
      <c r="H20" s="41">
        <v>15000</v>
      </c>
      <c r="I20" s="110">
        <v>70401</v>
      </c>
      <c r="J20" s="109" t="s">
        <v>64</v>
      </c>
      <c r="K20" s="42">
        <v>23022000</v>
      </c>
      <c r="L20" s="59">
        <f>K20-17022000</f>
        <v>6000000</v>
      </c>
      <c r="M20" s="42" t="s">
        <v>103</v>
      </c>
      <c r="N20" s="42">
        <f t="shared" si="0"/>
        <v>6000000</v>
      </c>
      <c r="O20" s="65" t="s">
        <v>26</v>
      </c>
      <c r="P20" s="65" t="str">
        <f t="shared" si="1"/>
        <v>-</v>
      </c>
      <c r="Q20" s="43">
        <v>43282</v>
      </c>
      <c r="R20" s="43">
        <v>43677</v>
      </c>
      <c r="S20" s="109" t="s">
        <v>35</v>
      </c>
      <c r="T20" s="109" t="s">
        <v>26</v>
      </c>
    </row>
    <row r="21" spans="1:20" ht="90.75" customHeight="1" x14ac:dyDescent="0.2">
      <c r="A21" s="46">
        <f>39+1</f>
        <v>40</v>
      </c>
      <c r="B21" s="185"/>
      <c r="C21" s="185"/>
      <c r="D21" s="109" t="s">
        <v>43</v>
      </c>
      <c r="E21" s="186"/>
      <c r="F21" s="186"/>
      <c r="G21" s="185"/>
      <c r="H21" s="41">
        <v>7000</v>
      </c>
      <c r="I21" s="110">
        <v>70238</v>
      </c>
      <c r="J21" s="109" t="s">
        <v>37</v>
      </c>
      <c r="K21" s="42">
        <v>10850000</v>
      </c>
      <c r="L21" s="59">
        <f>K21/2</f>
        <v>5425000</v>
      </c>
      <c r="M21" s="42" t="s">
        <v>103</v>
      </c>
      <c r="N21" s="42">
        <f t="shared" si="0"/>
        <v>5425000</v>
      </c>
      <c r="O21" s="65" t="s">
        <v>26</v>
      </c>
      <c r="P21" s="65" t="str">
        <f t="shared" si="1"/>
        <v>-</v>
      </c>
      <c r="Q21" s="43">
        <v>43278</v>
      </c>
      <c r="R21" s="43">
        <v>43677</v>
      </c>
      <c r="S21" s="109" t="s">
        <v>35</v>
      </c>
      <c r="T21" s="109" t="s">
        <v>26</v>
      </c>
    </row>
    <row r="22" spans="1:20" ht="82.5" customHeight="1" x14ac:dyDescent="0.2">
      <c r="A22" s="46">
        <f t="shared" ref="A22" si="2">A21+1</f>
        <v>41</v>
      </c>
      <c r="B22" s="185"/>
      <c r="C22" s="185"/>
      <c r="D22" s="109" t="s">
        <v>63</v>
      </c>
      <c r="E22" s="186"/>
      <c r="F22" s="186"/>
      <c r="G22" s="185"/>
      <c r="H22" s="41">
        <v>1000</v>
      </c>
      <c r="I22" s="110">
        <v>70226</v>
      </c>
      <c r="J22" s="109" t="s">
        <v>36</v>
      </c>
      <c r="K22" s="42">
        <v>1345200</v>
      </c>
      <c r="L22" s="59">
        <f>K22/2</f>
        <v>672600</v>
      </c>
      <c r="M22" s="42" t="s">
        <v>103</v>
      </c>
      <c r="N22" s="42">
        <f t="shared" si="0"/>
        <v>672600</v>
      </c>
      <c r="O22" s="65" t="s">
        <v>26</v>
      </c>
      <c r="P22" s="65" t="str">
        <f t="shared" si="1"/>
        <v>-</v>
      </c>
      <c r="Q22" s="43">
        <v>43278</v>
      </c>
      <c r="R22" s="43">
        <v>43677</v>
      </c>
      <c r="S22" s="109" t="s">
        <v>35</v>
      </c>
      <c r="T22" s="109" t="s">
        <v>26</v>
      </c>
    </row>
    <row r="23" spans="1:20" ht="133.5" customHeight="1" x14ac:dyDescent="0.2">
      <c r="A23" s="74">
        <v>49</v>
      </c>
      <c r="B23" s="68" t="s">
        <v>46</v>
      </c>
      <c r="C23" s="75" t="s">
        <v>66</v>
      </c>
      <c r="D23" s="69" t="s">
        <v>22</v>
      </c>
      <c r="E23" s="70" t="s">
        <v>38</v>
      </c>
      <c r="F23" s="69">
        <v>698</v>
      </c>
      <c r="G23" s="68" t="s">
        <v>23</v>
      </c>
      <c r="H23" s="69">
        <v>4</v>
      </c>
      <c r="I23" s="68">
        <v>70401</v>
      </c>
      <c r="J23" s="69" t="s">
        <v>24</v>
      </c>
      <c r="K23" s="65">
        <f>3920*4*11</f>
        <v>172480</v>
      </c>
      <c r="L23" s="59">
        <f>K23-94080</f>
        <v>78400</v>
      </c>
      <c r="M23" s="42" t="s">
        <v>26</v>
      </c>
      <c r="N23" s="42" t="str">
        <f t="shared" si="0"/>
        <v>-</v>
      </c>
      <c r="O23" s="65" t="s">
        <v>103</v>
      </c>
      <c r="P23" s="65">
        <f t="shared" si="1"/>
        <v>78400</v>
      </c>
      <c r="Q23" s="72">
        <v>43311</v>
      </c>
      <c r="R23" s="72">
        <v>43707</v>
      </c>
      <c r="S23" s="69" t="s">
        <v>25</v>
      </c>
      <c r="T23" s="69" t="s">
        <v>26</v>
      </c>
    </row>
    <row r="24" spans="1:20" ht="261" customHeight="1" x14ac:dyDescent="0.2">
      <c r="A24" s="67">
        <v>51</v>
      </c>
      <c r="B24" s="68" t="s">
        <v>51</v>
      </c>
      <c r="C24" s="68" t="s">
        <v>52</v>
      </c>
      <c r="D24" s="69" t="s">
        <v>72</v>
      </c>
      <c r="E24" s="70" t="s">
        <v>111</v>
      </c>
      <c r="F24" s="69">
        <v>383</v>
      </c>
      <c r="G24" s="68" t="s">
        <v>34</v>
      </c>
      <c r="H24" s="71">
        <v>60000000</v>
      </c>
      <c r="I24" s="68">
        <v>70401</v>
      </c>
      <c r="J24" s="69" t="s">
        <v>24</v>
      </c>
      <c r="K24" s="65">
        <f>H24*0.108</f>
        <v>6480000</v>
      </c>
      <c r="L24" s="59">
        <f>K24-1080000</f>
        <v>5400000</v>
      </c>
      <c r="M24" s="42" t="s">
        <v>26</v>
      </c>
      <c r="N24" s="42" t="str">
        <f t="shared" si="0"/>
        <v>-</v>
      </c>
      <c r="O24" s="65" t="s">
        <v>103</v>
      </c>
      <c r="P24" s="65">
        <f t="shared" si="1"/>
        <v>5400000</v>
      </c>
      <c r="Q24" s="72">
        <v>43374</v>
      </c>
      <c r="R24" s="72">
        <v>43799</v>
      </c>
      <c r="S24" s="69" t="s">
        <v>25</v>
      </c>
      <c r="T24" s="69" t="s">
        <v>26</v>
      </c>
    </row>
    <row r="25" spans="1:20" ht="159" customHeight="1" x14ac:dyDescent="0.2">
      <c r="A25" s="13">
        <v>83</v>
      </c>
      <c r="B25" s="2" t="s">
        <v>69</v>
      </c>
      <c r="C25" s="6" t="s">
        <v>74</v>
      </c>
      <c r="D25" s="112" t="s">
        <v>113</v>
      </c>
      <c r="E25" s="3" t="s">
        <v>114</v>
      </c>
      <c r="F25" s="112">
        <v>876</v>
      </c>
      <c r="G25" s="111" t="s">
        <v>50</v>
      </c>
      <c r="H25" s="4">
        <v>1</v>
      </c>
      <c r="I25" s="112">
        <v>61</v>
      </c>
      <c r="J25" s="112" t="s">
        <v>115</v>
      </c>
      <c r="K25" s="26">
        <v>15000000</v>
      </c>
      <c r="L25" s="59">
        <f>K25-2000000</f>
        <v>13000000</v>
      </c>
      <c r="M25" s="42" t="s">
        <v>26</v>
      </c>
      <c r="N25" s="42" t="str">
        <f t="shared" si="0"/>
        <v>-</v>
      </c>
      <c r="O25" s="65" t="s">
        <v>26</v>
      </c>
      <c r="P25" s="65" t="str">
        <f t="shared" si="1"/>
        <v>-</v>
      </c>
      <c r="Q25" s="5">
        <v>43448</v>
      </c>
      <c r="R25" s="5">
        <v>43830</v>
      </c>
      <c r="S25" s="112" t="s">
        <v>25</v>
      </c>
      <c r="T25" s="112" t="s">
        <v>26</v>
      </c>
    </row>
    <row r="26" spans="1:20" ht="178.5" customHeight="1" x14ac:dyDescent="0.2">
      <c r="A26" s="67">
        <v>62</v>
      </c>
      <c r="B26" s="68" t="s">
        <v>73</v>
      </c>
      <c r="C26" s="68" t="s">
        <v>70</v>
      </c>
      <c r="D26" s="69" t="s">
        <v>27</v>
      </c>
      <c r="E26" s="70" t="s">
        <v>116</v>
      </c>
      <c r="F26" s="69">
        <v>168</v>
      </c>
      <c r="G26" s="68" t="s">
        <v>28</v>
      </c>
      <c r="H26" s="71">
        <v>15000</v>
      </c>
      <c r="I26" s="69">
        <v>70</v>
      </c>
      <c r="J26" s="69" t="s">
        <v>29</v>
      </c>
      <c r="K26" s="65">
        <v>850000000</v>
      </c>
      <c r="L26" s="59">
        <f>K26</f>
        <v>850000000</v>
      </c>
      <c r="M26" s="42" t="s">
        <v>26</v>
      </c>
      <c r="N26" s="42" t="str">
        <f t="shared" ref="N26" si="3">IF(M26="да",L26,"-")</f>
        <v>-</v>
      </c>
      <c r="O26" s="65" t="s">
        <v>103</v>
      </c>
      <c r="P26" s="65">
        <f t="shared" ref="P26" si="4">IF(O26="да",L26,"-")</f>
        <v>850000000</v>
      </c>
      <c r="Q26" s="72">
        <v>43454</v>
      </c>
      <c r="R26" s="72">
        <v>43861</v>
      </c>
      <c r="S26" s="69" t="s">
        <v>25</v>
      </c>
      <c r="T26" s="69" t="s">
        <v>26</v>
      </c>
    </row>
    <row r="27" spans="1:20" s="10" customFormat="1" ht="222" customHeight="1" x14ac:dyDescent="0.2">
      <c r="A27" s="13">
        <f>A26+1</f>
        <v>63</v>
      </c>
      <c r="B27" s="2" t="s">
        <v>69</v>
      </c>
      <c r="C27" s="111" t="s">
        <v>49</v>
      </c>
      <c r="D27" s="112" t="s">
        <v>117</v>
      </c>
      <c r="E27" s="3" t="s">
        <v>118</v>
      </c>
      <c r="F27" s="112">
        <v>168</v>
      </c>
      <c r="G27" s="111" t="s">
        <v>28</v>
      </c>
      <c r="H27" s="4">
        <v>40000</v>
      </c>
      <c r="I27" s="112">
        <v>70</v>
      </c>
      <c r="J27" s="112" t="s">
        <v>29</v>
      </c>
      <c r="K27" s="26">
        <v>650000000</v>
      </c>
      <c r="L27" s="59">
        <f>K27-27000000</f>
        <v>623000000</v>
      </c>
      <c r="M27" s="42" t="s">
        <v>26</v>
      </c>
      <c r="N27" s="42" t="str">
        <f t="shared" ref="N27" si="5">IF(M27="да",L27,"-")</f>
        <v>-</v>
      </c>
      <c r="O27" s="65" t="s">
        <v>26</v>
      </c>
      <c r="P27" s="65" t="str">
        <f t="shared" ref="P27" si="6">IF(O27="да",L27,"-")</f>
        <v>-</v>
      </c>
      <c r="Q27" s="5">
        <v>43454</v>
      </c>
      <c r="R27" s="5">
        <v>43861</v>
      </c>
      <c r="S27" s="112" t="s">
        <v>25</v>
      </c>
      <c r="T27" s="112" t="s">
        <v>26</v>
      </c>
    </row>
    <row r="28" spans="1:20" s="10" customFormat="1" ht="24" customHeight="1" x14ac:dyDescent="0.2">
      <c r="A28" s="159" t="s">
        <v>122</v>
      </c>
      <c r="B28" s="159"/>
      <c r="C28" s="159"/>
      <c r="D28" s="159"/>
      <c r="E28" s="159"/>
      <c r="F28" s="159"/>
      <c r="G28" s="159"/>
      <c r="H28" s="159"/>
      <c r="I28" s="159"/>
      <c r="J28" s="159"/>
      <c r="K28" s="159"/>
      <c r="L28" s="159"/>
      <c r="M28" s="159"/>
      <c r="N28" s="159"/>
      <c r="O28" s="159"/>
      <c r="P28" s="159"/>
      <c r="Q28" s="159"/>
      <c r="R28" s="159"/>
      <c r="S28" s="159"/>
      <c r="T28" s="159"/>
    </row>
    <row r="29" spans="1:20" s="10" customFormat="1" ht="177" customHeight="1" x14ac:dyDescent="0.2">
      <c r="A29" s="38">
        <v>1</v>
      </c>
      <c r="B29" s="39" t="s">
        <v>77</v>
      </c>
      <c r="C29" s="39" t="s">
        <v>30</v>
      </c>
      <c r="D29" s="80" t="s">
        <v>93</v>
      </c>
      <c r="E29" s="40" t="s">
        <v>123</v>
      </c>
      <c r="F29" s="80">
        <v>168</v>
      </c>
      <c r="G29" s="81" t="s">
        <v>28</v>
      </c>
      <c r="H29" s="41">
        <v>236</v>
      </c>
      <c r="I29" s="118">
        <v>70</v>
      </c>
      <c r="J29" s="118" t="s">
        <v>29</v>
      </c>
      <c r="K29" s="42">
        <v>2290909.16</v>
      </c>
      <c r="L29" s="59">
        <f>K29</f>
        <v>2290909.16</v>
      </c>
      <c r="M29" s="42" t="s">
        <v>103</v>
      </c>
      <c r="N29" s="42">
        <f t="shared" ref="N29:N101" si="7">IF(M29="да",L29,"-")</f>
        <v>2290909.16</v>
      </c>
      <c r="O29" s="65" t="s">
        <v>26</v>
      </c>
      <c r="P29" s="65" t="str">
        <f t="shared" ref="P29:P57" si="8">IF(O29="да",L29,"-")</f>
        <v>-</v>
      </c>
      <c r="Q29" s="43">
        <v>43507</v>
      </c>
      <c r="R29" s="43">
        <v>43830</v>
      </c>
      <c r="S29" s="44" t="s">
        <v>41</v>
      </c>
      <c r="T29" s="80" t="s">
        <v>26</v>
      </c>
    </row>
    <row r="30" spans="1:20" s="10" customFormat="1" ht="150.75" customHeight="1" x14ac:dyDescent="0.2">
      <c r="A30" s="38">
        <f>A29+1</f>
        <v>2</v>
      </c>
      <c r="B30" s="39" t="s">
        <v>77</v>
      </c>
      <c r="C30" s="39" t="s">
        <v>30</v>
      </c>
      <c r="D30" s="109" t="s">
        <v>93</v>
      </c>
      <c r="E30" s="40" t="s">
        <v>123</v>
      </c>
      <c r="F30" s="80">
        <v>168</v>
      </c>
      <c r="G30" s="81" t="s">
        <v>28</v>
      </c>
      <c r="H30" s="41">
        <v>168</v>
      </c>
      <c r="I30" s="118">
        <v>70</v>
      </c>
      <c r="J30" s="118" t="s">
        <v>29</v>
      </c>
      <c r="K30" s="42">
        <v>1630909.14</v>
      </c>
      <c r="L30" s="59">
        <f>K30</f>
        <v>1630909.14</v>
      </c>
      <c r="M30" s="42" t="s">
        <v>103</v>
      </c>
      <c r="N30" s="42">
        <f t="shared" si="7"/>
        <v>1630909.14</v>
      </c>
      <c r="O30" s="65" t="s">
        <v>26</v>
      </c>
      <c r="P30" s="65" t="str">
        <f t="shared" si="8"/>
        <v>-</v>
      </c>
      <c r="Q30" s="43">
        <v>43507</v>
      </c>
      <c r="R30" s="43">
        <v>43830</v>
      </c>
      <c r="S30" s="44" t="s">
        <v>41</v>
      </c>
      <c r="T30" s="80" t="s">
        <v>26</v>
      </c>
    </row>
    <row r="31" spans="1:20" s="10" customFormat="1" ht="163.5" customHeight="1" x14ac:dyDescent="0.2">
      <c r="A31" s="38">
        <f>A30+1</f>
        <v>3</v>
      </c>
      <c r="B31" s="39" t="s">
        <v>77</v>
      </c>
      <c r="C31" s="39" t="s">
        <v>30</v>
      </c>
      <c r="D31" s="109" t="s">
        <v>93</v>
      </c>
      <c r="E31" s="40" t="s">
        <v>123</v>
      </c>
      <c r="F31" s="80">
        <v>168</v>
      </c>
      <c r="G31" s="81" t="s">
        <v>28</v>
      </c>
      <c r="H31" s="41">
        <v>250</v>
      </c>
      <c r="I31" s="80">
        <v>70</v>
      </c>
      <c r="J31" s="80" t="s">
        <v>29</v>
      </c>
      <c r="K31" s="42">
        <f t="shared" ref="K31:K36" si="9">H31*10663</f>
        <v>2665750</v>
      </c>
      <c r="L31" s="59">
        <f t="shared" ref="L31:L37" si="10">K31</f>
        <v>2665750</v>
      </c>
      <c r="M31" s="42" t="s">
        <v>103</v>
      </c>
      <c r="N31" s="42">
        <f t="shared" si="7"/>
        <v>2665750</v>
      </c>
      <c r="O31" s="65" t="s">
        <v>26</v>
      </c>
      <c r="P31" s="65" t="str">
        <f t="shared" si="8"/>
        <v>-</v>
      </c>
      <c r="Q31" s="43">
        <v>43479</v>
      </c>
      <c r="R31" s="43">
        <v>43830</v>
      </c>
      <c r="S31" s="44" t="s">
        <v>41</v>
      </c>
      <c r="T31" s="80" t="s">
        <v>26</v>
      </c>
    </row>
    <row r="32" spans="1:20" s="10" customFormat="1" ht="141.75" x14ac:dyDescent="0.2">
      <c r="A32" s="38">
        <f>A31+1</f>
        <v>4</v>
      </c>
      <c r="B32" s="39" t="s">
        <v>77</v>
      </c>
      <c r="C32" s="39" t="s">
        <v>30</v>
      </c>
      <c r="D32" s="109" t="s">
        <v>93</v>
      </c>
      <c r="E32" s="40" t="s">
        <v>123</v>
      </c>
      <c r="F32" s="80">
        <v>168</v>
      </c>
      <c r="G32" s="81" t="s">
        <v>28</v>
      </c>
      <c r="H32" s="41">
        <v>300</v>
      </c>
      <c r="I32" s="80">
        <v>70</v>
      </c>
      <c r="J32" s="80" t="s">
        <v>29</v>
      </c>
      <c r="K32" s="42">
        <f t="shared" si="9"/>
        <v>3198900</v>
      </c>
      <c r="L32" s="59">
        <f t="shared" si="10"/>
        <v>3198900</v>
      </c>
      <c r="M32" s="42" t="s">
        <v>103</v>
      </c>
      <c r="N32" s="42">
        <f t="shared" si="7"/>
        <v>3198900</v>
      </c>
      <c r="O32" s="65" t="s">
        <v>26</v>
      </c>
      <c r="P32" s="65" t="str">
        <f t="shared" si="8"/>
        <v>-</v>
      </c>
      <c r="Q32" s="43">
        <v>43479</v>
      </c>
      <c r="R32" s="43">
        <v>43830</v>
      </c>
      <c r="S32" s="44" t="s">
        <v>41</v>
      </c>
      <c r="T32" s="80" t="s">
        <v>26</v>
      </c>
    </row>
    <row r="33" spans="1:20" s="10" customFormat="1" ht="151.5" customHeight="1" x14ac:dyDescent="0.2">
      <c r="A33" s="38">
        <f>A32+1</f>
        <v>5</v>
      </c>
      <c r="B33" s="39" t="s">
        <v>77</v>
      </c>
      <c r="C33" s="39" t="s">
        <v>30</v>
      </c>
      <c r="D33" s="109" t="s">
        <v>93</v>
      </c>
      <c r="E33" s="40" t="s">
        <v>123</v>
      </c>
      <c r="F33" s="80">
        <v>168</v>
      </c>
      <c r="G33" s="81" t="s">
        <v>28</v>
      </c>
      <c r="H33" s="41">
        <v>519</v>
      </c>
      <c r="I33" s="118">
        <v>70</v>
      </c>
      <c r="J33" s="118" t="s">
        <v>29</v>
      </c>
      <c r="K33" s="42">
        <v>5543000</v>
      </c>
      <c r="L33" s="59">
        <f t="shared" si="10"/>
        <v>5543000</v>
      </c>
      <c r="M33" s="42" t="s">
        <v>103</v>
      </c>
      <c r="N33" s="42">
        <f t="shared" si="7"/>
        <v>5543000</v>
      </c>
      <c r="O33" s="65" t="s">
        <v>26</v>
      </c>
      <c r="P33" s="65" t="str">
        <f t="shared" si="8"/>
        <v>-</v>
      </c>
      <c r="Q33" s="43">
        <v>43507</v>
      </c>
      <c r="R33" s="43">
        <v>43830</v>
      </c>
      <c r="S33" s="44" t="s">
        <v>41</v>
      </c>
      <c r="T33" s="80" t="s">
        <v>26</v>
      </c>
    </row>
    <row r="34" spans="1:20" s="10" customFormat="1" ht="150" customHeight="1" x14ac:dyDescent="0.2">
      <c r="A34" s="38">
        <f>A33+1</f>
        <v>6</v>
      </c>
      <c r="B34" s="39" t="s">
        <v>77</v>
      </c>
      <c r="C34" s="39" t="s">
        <v>30</v>
      </c>
      <c r="D34" s="109" t="s">
        <v>93</v>
      </c>
      <c r="E34" s="40" t="s">
        <v>123</v>
      </c>
      <c r="F34" s="80">
        <v>168</v>
      </c>
      <c r="G34" s="81" t="s">
        <v>28</v>
      </c>
      <c r="H34" s="41">
        <v>400</v>
      </c>
      <c r="I34" s="80">
        <v>70</v>
      </c>
      <c r="J34" s="80" t="s">
        <v>29</v>
      </c>
      <c r="K34" s="42">
        <f t="shared" si="9"/>
        <v>4265200</v>
      </c>
      <c r="L34" s="59">
        <f t="shared" si="10"/>
        <v>4265200</v>
      </c>
      <c r="M34" s="42" t="s">
        <v>103</v>
      </c>
      <c r="N34" s="42">
        <f t="shared" si="7"/>
        <v>4265200</v>
      </c>
      <c r="O34" s="65" t="s">
        <v>26</v>
      </c>
      <c r="P34" s="65" t="str">
        <f t="shared" si="8"/>
        <v>-</v>
      </c>
      <c r="Q34" s="43">
        <v>43479</v>
      </c>
      <c r="R34" s="43">
        <v>43830</v>
      </c>
      <c r="S34" s="44" t="s">
        <v>41</v>
      </c>
      <c r="T34" s="80" t="s">
        <v>26</v>
      </c>
    </row>
    <row r="35" spans="1:20" s="10" customFormat="1" ht="141.75" x14ac:dyDescent="0.2">
      <c r="A35" s="38">
        <f t="shared" ref="A35:A42" si="11">A34+1</f>
        <v>7</v>
      </c>
      <c r="B35" s="39" t="s">
        <v>77</v>
      </c>
      <c r="C35" s="39" t="s">
        <v>30</v>
      </c>
      <c r="D35" s="109" t="s">
        <v>93</v>
      </c>
      <c r="E35" s="40" t="s">
        <v>123</v>
      </c>
      <c r="F35" s="83">
        <v>168</v>
      </c>
      <c r="G35" s="82" t="s">
        <v>28</v>
      </c>
      <c r="H35" s="41">
        <v>504</v>
      </c>
      <c r="I35" s="118">
        <v>70</v>
      </c>
      <c r="J35" s="118" t="s">
        <v>29</v>
      </c>
      <c r="K35" s="42">
        <v>4892727.42</v>
      </c>
      <c r="L35" s="59">
        <f t="shared" ref="L35" si="12">K35</f>
        <v>4892727.42</v>
      </c>
      <c r="M35" s="42" t="s">
        <v>103</v>
      </c>
      <c r="N35" s="42">
        <f t="shared" ref="N35" si="13">IF(M35="да",L35,"-")</f>
        <v>4892727.42</v>
      </c>
      <c r="O35" s="65" t="s">
        <v>26</v>
      </c>
      <c r="P35" s="65" t="str">
        <f t="shared" ref="P35" si="14">IF(O35="да",L35,"-")</f>
        <v>-</v>
      </c>
      <c r="Q35" s="43">
        <v>43507</v>
      </c>
      <c r="R35" s="43">
        <v>43830</v>
      </c>
      <c r="S35" s="44" t="s">
        <v>41</v>
      </c>
      <c r="T35" s="83" t="s">
        <v>26</v>
      </c>
    </row>
    <row r="36" spans="1:20" s="87" customFormat="1" ht="150.75" customHeight="1" x14ac:dyDescent="0.2">
      <c r="A36" s="38">
        <f t="shared" si="11"/>
        <v>8</v>
      </c>
      <c r="B36" s="39" t="s">
        <v>77</v>
      </c>
      <c r="C36" s="39" t="s">
        <v>30</v>
      </c>
      <c r="D36" s="109" t="s">
        <v>93</v>
      </c>
      <c r="E36" s="40" t="s">
        <v>123</v>
      </c>
      <c r="F36" s="83">
        <v>168</v>
      </c>
      <c r="G36" s="82" t="s">
        <v>28</v>
      </c>
      <c r="H36" s="41">
        <v>300</v>
      </c>
      <c r="I36" s="83">
        <v>70</v>
      </c>
      <c r="J36" s="86" t="s">
        <v>29</v>
      </c>
      <c r="K36" s="42">
        <f t="shared" si="9"/>
        <v>3198900</v>
      </c>
      <c r="L36" s="59">
        <f t="shared" si="10"/>
        <v>3198900</v>
      </c>
      <c r="M36" s="42" t="s">
        <v>103</v>
      </c>
      <c r="N36" s="42">
        <f t="shared" si="7"/>
        <v>3198900</v>
      </c>
      <c r="O36" s="65" t="s">
        <v>26</v>
      </c>
      <c r="P36" s="65" t="str">
        <f t="shared" si="8"/>
        <v>-</v>
      </c>
      <c r="Q36" s="43">
        <v>43479</v>
      </c>
      <c r="R36" s="43">
        <v>43830</v>
      </c>
      <c r="S36" s="44" t="s">
        <v>41</v>
      </c>
      <c r="T36" s="83" t="s">
        <v>26</v>
      </c>
    </row>
    <row r="37" spans="1:20" s="10" customFormat="1" ht="126" x14ac:dyDescent="0.2">
      <c r="A37" s="14">
        <f t="shared" si="11"/>
        <v>9</v>
      </c>
      <c r="B37" s="2" t="s">
        <v>69</v>
      </c>
      <c r="C37" s="2" t="s">
        <v>47</v>
      </c>
      <c r="D37" s="124" t="s">
        <v>40</v>
      </c>
      <c r="E37" s="3" t="s">
        <v>76</v>
      </c>
      <c r="F37" s="124">
        <v>168</v>
      </c>
      <c r="G37" s="125" t="s">
        <v>28</v>
      </c>
      <c r="H37" s="4">
        <v>1100</v>
      </c>
      <c r="I37" s="124">
        <v>70</v>
      </c>
      <c r="J37" s="124" t="s">
        <v>29</v>
      </c>
      <c r="K37" s="26">
        <f>H37*22000</f>
        <v>24200000</v>
      </c>
      <c r="L37" s="59">
        <f t="shared" si="10"/>
        <v>24200000</v>
      </c>
      <c r="M37" s="42" t="s">
        <v>26</v>
      </c>
      <c r="N37" s="42" t="str">
        <f t="shared" si="7"/>
        <v>-</v>
      </c>
      <c r="O37" s="65" t="s">
        <v>26</v>
      </c>
      <c r="P37" s="65" t="str">
        <f t="shared" si="8"/>
        <v>-</v>
      </c>
      <c r="Q37" s="5">
        <v>43524</v>
      </c>
      <c r="R37" s="5">
        <v>43861</v>
      </c>
      <c r="S37" s="124" t="s">
        <v>31</v>
      </c>
      <c r="T37" s="124" t="s">
        <v>26</v>
      </c>
    </row>
    <row r="38" spans="1:20" s="10" customFormat="1" ht="126" x14ac:dyDescent="0.2">
      <c r="A38" s="14">
        <f t="shared" si="11"/>
        <v>10</v>
      </c>
      <c r="B38" s="2" t="s">
        <v>69</v>
      </c>
      <c r="C38" s="2" t="s">
        <v>47</v>
      </c>
      <c r="D38" s="50" t="s">
        <v>40</v>
      </c>
      <c r="E38" s="3" t="s">
        <v>76</v>
      </c>
      <c r="F38" s="50">
        <v>168</v>
      </c>
      <c r="G38" s="51" t="s">
        <v>28</v>
      </c>
      <c r="H38" s="4">
        <v>1100</v>
      </c>
      <c r="I38" s="50">
        <v>70</v>
      </c>
      <c r="J38" s="50" t="s">
        <v>29</v>
      </c>
      <c r="K38" s="26">
        <f>H38*22000</f>
        <v>24200000</v>
      </c>
      <c r="L38" s="59">
        <f t="shared" ref="L38:L57" si="15">K38</f>
        <v>24200000</v>
      </c>
      <c r="M38" s="42" t="s">
        <v>26</v>
      </c>
      <c r="N38" s="42" t="str">
        <f t="shared" si="7"/>
        <v>-</v>
      </c>
      <c r="O38" s="65" t="s">
        <v>26</v>
      </c>
      <c r="P38" s="65" t="str">
        <f t="shared" si="8"/>
        <v>-</v>
      </c>
      <c r="Q38" s="5">
        <v>43480</v>
      </c>
      <c r="R38" s="5">
        <v>43861</v>
      </c>
      <c r="S38" s="50" t="s">
        <v>31</v>
      </c>
      <c r="T38" s="50" t="s">
        <v>26</v>
      </c>
    </row>
    <row r="39" spans="1:20" s="10" customFormat="1" ht="252" x14ac:dyDescent="0.2">
      <c r="A39" s="14">
        <f t="shared" si="11"/>
        <v>11</v>
      </c>
      <c r="B39" s="2" t="s">
        <v>69</v>
      </c>
      <c r="C39" s="6" t="s">
        <v>74</v>
      </c>
      <c r="D39" s="113" t="s">
        <v>56</v>
      </c>
      <c r="E39" s="3" t="s">
        <v>65</v>
      </c>
      <c r="F39" s="113">
        <v>876</v>
      </c>
      <c r="G39" s="115" t="s">
        <v>50</v>
      </c>
      <c r="H39" s="4">
        <v>1</v>
      </c>
      <c r="I39" s="113">
        <v>61</v>
      </c>
      <c r="J39" s="113" t="s">
        <v>115</v>
      </c>
      <c r="K39" s="26">
        <v>30000000</v>
      </c>
      <c r="L39" s="59">
        <f t="shared" ref="L39" si="16">K39</f>
        <v>30000000</v>
      </c>
      <c r="M39" s="42" t="s">
        <v>26</v>
      </c>
      <c r="N39" s="42" t="str">
        <f t="shared" ref="N39:N40" si="17">IF(M39="да",L39,"-")</f>
        <v>-</v>
      </c>
      <c r="O39" s="65" t="s">
        <v>26</v>
      </c>
      <c r="P39" s="65" t="str">
        <f t="shared" ref="P39:P40" si="18">IF(O39="да",L39,"-")</f>
        <v>-</v>
      </c>
      <c r="Q39" s="5">
        <v>43480</v>
      </c>
      <c r="R39" s="5">
        <v>43861</v>
      </c>
      <c r="S39" s="113" t="s">
        <v>25</v>
      </c>
      <c r="T39" s="113" t="s">
        <v>26</v>
      </c>
    </row>
    <row r="40" spans="1:20" s="10" customFormat="1" ht="258.75" customHeight="1" x14ac:dyDescent="0.2">
      <c r="A40" s="117">
        <f>A39+1</f>
        <v>12</v>
      </c>
      <c r="B40" s="68" t="s">
        <v>51</v>
      </c>
      <c r="C40" s="68" t="s">
        <v>52</v>
      </c>
      <c r="D40" s="69" t="s">
        <v>72</v>
      </c>
      <c r="E40" s="70" t="s">
        <v>136</v>
      </c>
      <c r="F40" s="69">
        <v>383</v>
      </c>
      <c r="G40" s="68" t="s">
        <v>34</v>
      </c>
      <c r="H40" s="71">
        <v>126000000</v>
      </c>
      <c r="I40" s="68">
        <v>70401</v>
      </c>
      <c r="J40" s="69" t="s">
        <v>24</v>
      </c>
      <c r="K40" s="65">
        <f>H40*0.115</f>
        <v>14490000</v>
      </c>
      <c r="L40" s="59">
        <f>K40*8/12</f>
        <v>9660000</v>
      </c>
      <c r="M40" s="42" t="s">
        <v>26</v>
      </c>
      <c r="N40" s="42" t="str">
        <f t="shared" si="17"/>
        <v>-</v>
      </c>
      <c r="O40" s="65" t="s">
        <v>103</v>
      </c>
      <c r="P40" s="65">
        <f t="shared" si="18"/>
        <v>9660000</v>
      </c>
      <c r="Q40" s="72">
        <v>43556</v>
      </c>
      <c r="R40" s="72">
        <v>43982</v>
      </c>
      <c r="S40" s="69" t="s">
        <v>25</v>
      </c>
      <c r="T40" s="69" t="s">
        <v>26</v>
      </c>
    </row>
    <row r="41" spans="1:20" s="10" customFormat="1" ht="204.75" x14ac:dyDescent="0.2">
      <c r="A41" s="14">
        <f t="shared" si="11"/>
        <v>13</v>
      </c>
      <c r="B41" s="2" t="s">
        <v>69</v>
      </c>
      <c r="C41" s="6" t="s">
        <v>74</v>
      </c>
      <c r="D41" s="50" t="s">
        <v>59</v>
      </c>
      <c r="E41" s="3" t="s">
        <v>110</v>
      </c>
      <c r="F41" s="93">
        <v>876</v>
      </c>
      <c r="G41" s="95" t="s">
        <v>50</v>
      </c>
      <c r="H41" s="4">
        <v>1</v>
      </c>
      <c r="I41" s="113">
        <v>46</v>
      </c>
      <c r="J41" s="113" t="s">
        <v>94</v>
      </c>
      <c r="K41" s="26">
        <v>10000000</v>
      </c>
      <c r="L41" s="59">
        <f t="shared" si="15"/>
        <v>10000000</v>
      </c>
      <c r="M41" s="42" t="s">
        <v>26</v>
      </c>
      <c r="N41" s="42" t="str">
        <f t="shared" si="7"/>
        <v>-</v>
      </c>
      <c r="O41" s="65" t="s">
        <v>26</v>
      </c>
      <c r="P41" s="65" t="str">
        <f t="shared" si="8"/>
        <v>-</v>
      </c>
      <c r="Q41" s="5">
        <v>43497</v>
      </c>
      <c r="R41" s="5">
        <v>43861</v>
      </c>
      <c r="S41" s="93" t="s">
        <v>25</v>
      </c>
      <c r="T41" s="93" t="s">
        <v>26</v>
      </c>
    </row>
    <row r="42" spans="1:20" s="10" customFormat="1" ht="162.75" customHeight="1" x14ac:dyDescent="0.2">
      <c r="A42" s="38">
        <f t="shared" si="11"/>
        <v>14</v>
      </c>
      <c r="B42" s="39" t="s">
        <v>77</v>
      </c>
      <c r="C42" s="39" t="s">
        <v>30</v>
      </c>
      <c r="D42" s="109" t="s">
        <v>93</v>
      </c>
      <c r="E42" s="40" t="s">
        <v>123</v>
      </c>
      <c r="F42" s="84">
        <v>168</v>
      </c>
      <c r="G42" s="85" t="s">
        <v>28</v>
      </c>
      <c r="H42" s="41">
        <v>306</v>
      </c>
      <c r="I42" s="118">
        <v>70</v>
      </c>
      <c r="J42" s="86" t="s">
        <v>29</v>
      </c>
      <c r="K42" s="42">
        <v>3268000</v>
      </c>
      <c r="L42" s="59">
        <f t="shared" si="15"/>
        <v>3268000</v>
      </c>
      <c r="M42" s="42" t="s">
        <v>103</v>
      </c>
      <c r="N42" s="42">
        <f t="shared" si="7"/>
        <v>3268000</v>
      </c>
      <c r="O42" s="65" t="s">
        <v>26</v>
      </c>
      <c r="P42" s="65" t="str">
        <f t="shared" si="8"/>
        <v>-</v>
      </c>
      <c r="Q42" s="43">
        <v>43497</v>
      </c>
      <c r="R42" s="43">
        <v>43830</v>
      </c>
      <c r="S42" s="89" t="s">
        <v>41</v>
      </c>
      <c r="T42" s="90" t="s">
        <v>26</v>
      </c>
    </row>
    <row r="43" spans="1:20" s="10" customFormat="1" ht="160.5" customHeight="1" x14ac:dyDescent="0.2">
      <c r="A43" s="38">
        <f t="shared" ref="A43:A44" si="19">A42+1</f>
        <v>15</v>
      </c>
      <c r="B43" s="39" t="s">
        <v>77</v>
      </c>
      <c r="C43" s="39" t="s">
        <v>30</v>
      </c>
      <c r="D43" s="109" t="s">
        <v>93</v>
      </c>
      <c r="E43" s="40" t="s">
        <v>123</v>
      </c>
      <c r="F43" s="84">
        <v>168</v>
      </c>
      <c r="G43" s="85" t="s">
        <v>28</v>
      </c>
      <c r="H43" s="41">
        <v>200</v>
      </c>
      <c r="I43" s="84">
        <v>70</v>
      </c>
      <c r="J43" s="88" t="s">
        <v>29</v>
      </c>
      <c r="K43" s="42">
        <f t="shared" ref="K43:K48" si="20">H43*10663</f>
        <v>2132600</v>
      </c>
      <c r="L43" s="59">
        <f t="shared" si="15"/>
        <v>2132600</v>
      </c>
      <c r="M43" s="42" t="s">
        <v>103</v>
      </c>
      <c r="N43" s="42">
        <f t="shared" si="7"/>
        <v>2132600</v>
      </c>
      <c r="O43" s="65" t="s">
        <v>26</v>
      </c>
      <c r="P43" s="65" t="str">
        <f t="shared" si="8"/>
        <v>-</v>
      </c>
      <c r="Q43" s="43">
        <v>43497</v>
      </c>
      <c r="R43" s="43">
        <v>43830</v>
      </c>
      <c r="S43" s="89" t="s">
        <v>41</v>
      </c>
      <c r="T43" s="90" t="s">
        <v>26</v>
      </c>
    </row>
    <row r="44" spans="1:20" s="10" customFormat="1" ht="159" customHeight="1" x14ac:dyDescent="0.2">
      <c r="A44" s="38">
        <f t="shared" si="19"/>
        <v>16</v>
      </c>
      <c r="B44" s="39" t="s">
        <v>77</v>
      </c>
      <c r="C44" s="39" t="s">
        <v>30</v>
      </c>
      <c r="D44" s="127" t="s">
        <v>93</v>
      </c>
      <c r="E44" s="40" t="s">
        <v>123</v>
      </c>
      <c r="F44" s="127">
        <v>168</v>
      </c>
      <c r="G44" s="126" t="s">
        <v>28</v>
      </c>
      <c r="H44" s="41">
        <v>168</v>
      </c>
      <c r="I44" s="127">
        <v>70</v>
      </c>
      <c r="J44" s="127" t="s">
        <v>29</v>
      </c>
      <c r="K44" s="42">
        <v>1630909.14</v>
      </c>
      <c r="L44" s="59">
        <f t="shared" si="15"/>
        <v>1630909.14</v>
      </c>
      <c r="M44" s="42" t="s">
        <v>103</v>
      </c>
      <c r="N44" s="42">
        <f t="shared" si="7"/>
        <v>1630909.14</v>
      </c>
      <c r="O44" s="65" t="s">
        <v>26</v>
      </c>
      <c r="P44" s="65" t="str">
        <f t="shared" si="8"/>
        <v>-</v>
      </c>
      <c r="Q44" s="43">
        <v>43536</v>
      </c>
      <c r="R44" s="43">
        <v>43830</v>
      </c>
      <c r="S44" s="44" t="s">
        <v>41</v>
      </c>
      <c r="T44" s="127" t="s">
        <v>26</v>
      </c>
    </row>
    <row r="45" spans="1:20" s="10" customFormat="1" ht="157.5" customHeight="1" x14ac:dyDescent="0.2">
      <c r="A45" s="38">
        <f t="shared" ref="A45:A56" si="21">A44+1</f>
        <v>17</v>
      </c>
      <c r="B45" s="39" t="s">
        <v>77</v>
      </c>
      <c r="C45" s="39" t="s">
        <v>30</v>
      </c>
      <c r="D45" s="109" t="s">
        <v>93</v>
      </c>
      <c r="E45" s="40" t="s">
        <v>123</v>
      </c>
      <c r="F45" s="54">
        <v>168</v>
      </c>
      <c r="G45" s="53" t="s">
        <v>28</v>
      </c>
      <c r="H45" s="41">
        <v>300</v>
      </c>
      <c r="I45" s="88">
        <v>70</v>
      </c>
      <c r="J45" s="88" t="s">
        <v>29</v>
      </c>
      <c r="K45" s="42">
        <f t="shared" si="20"/>
        <v>3198900</v>
      </c>
      <c r="L45" s="59">
        <f t="shared" si="15"/>
        <v>3198900</v>
      </c>
      <c r="M45" s="42" t="s">
        <v>103</v>
      </c>
      <c r="N45" s="42">
        <f t="shared" si="7"/>
        <v>3198900</v>
      </c>
      <c r="O45" s="65" t="s">
        <v>26</v>
      </c>
      <c r="P45" s="65" t="str">
        <f t="shared" si="8"/>
        <v>-</v>
      </c>
      <c r="Q45" s="43">
        <v>43497</v>
      </c>
      <c r="R45" s="43">
        <v>43830</v>
      </c>
      <c r="S45" s="44" t="s">
        <v>41</v>
      </c>
      <c r="T45" s="54" t="s">
        <v>26</v>
      </c>
    </row>
    <row r="46" spans="1:20" s="10" customFormat="1" ht="153.75" customHeight="1" x14ac:dyDescent="0.2">
      <c r="A46" s="38">
        <f t="shared" si="21"/>
        <v>18</v>
      </c>
      <c r="B46" s="39" t="s">
        <v>77</v>
      </c>
      <c r="C46" s="39" t="s">
        <v>30</v>
      </c>
      <c r="D46" s="127" t="s">
        <v>93</v>
      </c>
      <c r="E46" s="40" t="s">
        <v>123</v>
      </c>
      <c r="F46" s="127">
        <v>168</v>
      </c>
      <c r="G46" s="126" t="s">
        <v>28</v>
      </c>
      <c r="H46" s="41">
        <v>840</v>
      </c>
      <c r="I46" s="127">
        <v>70</v>
      </c>
      <c r="J46" s="127" t="s">
        <v>29</v>
      </c>
      <c r="K46" s="42">
        <v>8155454.79</v>
      </c>
      <c r="L46" s="59">
        <f t="shared" si="15"/>
        <v>8155454.79</v>
      </c>
      <c r="M46" s="42" t="s">
        <v>103</v>
      </c>
      <c r="N46" s="42">
        <f t="shared" si="7"/>
        <v>8155454.79</v>
      </c>
      <c r="O46" s="65" t="s">
        <v>26</v>
      </c>
      <c r="P46" s="65" t="str">
        <f t="shared" si="8"/>
        <v>-</v>
      </c>
      <c r="Q46" s="43">
        <v>43536</v>
      </c>
      <c r="R46" s="43">
        <v>43830</v>
      </c>
      <c r="S46" s="44" t="s">
        <v>41</v>
      </c>
      <c r="T46" s="127" t="s">
        <v>26</v>
      </c>
    </row>
    <row r="47" spans="1:20" s="10" customFormat="1" ht="182.25" customHeight="1" x14ac:dyDescent="0.2">
      <c r="A47" s="38">
        <f t="shared" si="21"/>
        <v>19</v>
      </c>
      <c r="B47" s="39" t="s">
        <v>77</v>
      </c>
      <c r="C47" s="39" t="s">
        <v>30</v>
      </c>
      <c r="D47" s="109" t="s">
        <v>93</v>
      </c>
      <c r="E47" s="40" t="s">
        <v>123</v>
      </c>
      <c r="F47" s="91">
        <v>168</v>
      </c>
      <c r="G47" s="92" t="s">
        <v>28</v>
      </c>
      <c r="H47" s="41">
        <v>650</v>
      </c>
      <c r="I47" s="91">
        <v>70</v>
      </c>
      <c r="J47" s="91" t="s">
        <v>29</v>
      </c>
      <c r="K47" s="42">
        <f t="shared" si="20"/>
        <v>6930950</v>
      </c>
      <c r="L47" s="59">
        <f t="shared" si="15"/>
        <v>6930950</v>
      </c>
      <c r="M47" s="42" t="s">
        <v>103</v>
      </c>
      <c r="N47" s="42">
        <f t="shared" si="7"/>
        <v>6930950</v>
      </c>
      <c r="O47" s="65" t="s">
        <v>26</v>
      </c>
      <c r="P47" s="65" t="str">
        <f t="shared" si="8"/>
        <v>-</v>
      </c>
      <c r="Q47" s="43">
        <v>43497</v>
      </c>
      <c r="R47" s="43">
        <v>43830</v>
      </c>
      <c r="S47" s="44" t="s">
        <v>41</v>
      </c>
      <c r="T47" s="91" t="s">
        <v>26</v>
      </c>
    </row>
    <row r="48" spans="1:20" s="10" customFormat="1" ht="183" customHeight="1" x14ac:dyDescent="0.2">
      <c r="A48" s="38">
        <f>A47+1</f>
        <v>20</v>
      </c>
      <c r="B48" s="39" t="s">
        <v>77</v>
      </c>
      <c r="C48" s="39" t="s">
        <v>30</v>
      </c>
      <c r="D48" s="109" t="s">
        <v>93</v>
      </c>
      <c r="E48" s="40" t="s">
        <v>123</v>
      </c>
      <c r="F48" s="96">
        <v>168</v>
      </c>
      <c r="G48" s="94" t="s">
        <v>28</v>
      </c>
      <c r="H48" s="41">
        <v>250</v>
      </c>
      <c r="I48" s="96">
        <v>70</v>
      </c>
      <c r="J48" s="96" t="s">
        <v>29</v>
      </c>
      <c r="K48" s="42">
        <f t="shared" si="20"/>
        <v>2665750</v>
      </c>
      <c r="L48" s="59">
        <f t="shared" si="15"/>
        <v>2665750</v>
      </c>
      <c r="M48" s="42" t="s">
        <v>103</v>
      </c>
      <c r="N48" s="42">
        <f t="shared" si="7"/>
        <v>2665750</v>
      </c>
      <c r="O48" s="65" t="s">
        <v>26</v>
      </c>
      <c r="P48" s="65" t="str">
        <f t="shared" si="8"/>
        <v>-</v>
      </c>
      <c r="Q48" s="43">
        <v>43497</v>
      </c>
      <c r="R48" s="43">
        <v>43830</v>
      </c>
      <c r="S48" s="44" t="s">
        <v>41</v>
      </c>
      <c r="T48" s="96" t="s">
        <v>26</v>
      </c>
    </row>
    <row r="49" spans="1:21" s="10" customFormat="1" ht="222.75" customHeight="1" x14ac:dyDescent="0.2">
      <c r="A49" s="14">
        <f>A104+1</f>
        <v>67</v>
      </c>
      <c r="B49" s="6" t="s">
        <v>144</v>
      </c>
      <c r="C49" s="6" t="s">
        <v>145</v>
      </c>
      <c r="D49" s="121" t="s">
        <v>146</v>
      </c>
      <c r="E49" s="3" t="s">
        <v>147</v>
      </c>
      <c r="F49" s="119">
        <v>642</v>
      </c>
      <c r="G49" s="120" t="s">
        <v>148</v>
      </c>
      <c r="H49" s="4">
        <v>1</v>
      </c>
      <c r="I49" s="119">
        <v>70</v>
      </c>
      <c r="J49" s="124" t="s">
        <v>29</v>
      </c>
      <c r="K49" s="26">
        <v>1052500</v>
      </c>
      <c r="L49" s="59">
        <v>465700</v>
      </c>
      <c r="M49" s="42" t="s">
        <v>26</v>
      </c>
      <c r="N49" s="42" t="str">
        <f t="shared" si="7"/>
        <v>-</v>
      </c>
      <c r="O49" s="65" t="s">
        <v>26</v>
      </c>
      <c r="P49" s="65" t="str">
        <f t="shared" si="8"/>
        <v>-</v>
      </c>
      <c r="Q49" s="5">
        <v>43507</v>
      </c>
      <c r="R49" s="5">
        <v>44227</v>
      </c>
      <c r="S49" s="119" t="s">
        <v>31</v>
      </c>
      <c r="T49" s="119" t="s">
        <v>26</v>
      </c>
    </row>
    <row r="50" spans="1:21" s="10" customFormat="1" ht="183.75" customHeight="1" x14ac:dyDescent="0.2">
      <c r="A50" s="38">
        <f>A48+1</f>
        <v>21</v>
      </c>
      <c r="B50" s="39" t="s">
        <v>77</v>
      </c>
      <c r="C50" s="39" t="s">
        <v>30</v>
      </c>
      <c r="D50" s="127" t="s">
        <v>93</v>
      </c>
      <c r="E50" s="40" t="s">
        <v>123</v>
      </c>
      <c r="F50" s="127">
        <v>168</v>
      </c>
      <c r="G50" s="126" t="s">
        <v>28</v>
      </c>
      <c r="H50" s="41">
        <v>1602</v>
      </c>
      <c r="I50" s="127">
        <v>70</v>
      </c>
      <c r="J50" s="127" t="s">
        <v>29</v>
      </c>
      <c r="K50" s="42">
        <v>17109000</v>
      </c>
      <c r="L50" s="59">
        <f t="shared" ref="L50" si="22">K50</f>
        <v>17109000</v>
      </c>
      <c r="M50" s="42" t="s">
        <v>103</v>
      </c>
      <c r="N50" s="42">
        <f t="shared" si="7"/>
        <v>17109000</v>
      </c>
      <c r="O50" s="65" t="s">
        <v>26</v>
      </c>
      <c r="P50" s="65" t="str">
        <f t="shared" si="8"/>
        <v>-</v>
      </c>
      <c r="Q50" s="43">
        <v>43533</v>
      </c>
      <c r="R50" s="43">
        <v>43830</v>
      </c>
      <c r="S50" s="44" t="s">
        <v>41</v>
      </c>
      <c r="T50" s="127" t="s">
        <v>26</v>
      </c>
    </row>
    <row r="51" spans="1:21" s="10" customFormat="1" ht="216" customHeight="1" x14ac:dyDescent="0.2">
      <c r="A51" s="38">
        <f>A50+1</f>
        <v>22</v>
      </c>
      <c r="B51" s="39" t="s">
        <v>71</v>
      </c>
      <c r="C51" s="39" t="s">
        <v>30</v>
      </c>
      <c r="D51" s="123" t="s">
        <v>124</v>
      </c>
      <c r="E51" s="40" t="s">
        <v>126</v>
      </c>
      <c r="F51" s="123">
        <v>168</v>
      </c>
      <c r="G51" s="122" t="s">
        <v>28</v>
      </c>
      <c r="H51" s="47">
        <v>135.04</v>
      </c>
      <c r="I51" s="123">
        <v>70</v>
      </c>
      <c r="J51" s="123" t="s">
        <v>45</v>
      </c>
      <c r="K51" s="48">
        <f>H51*13800</f>
        <v>1863552</v>
      </c>
      <c r="L51" s="59">
        <f t="shared" si="15"/>
        <v>1863552</v>
      </c>
      <c r="M51" s="42" t="s">
        <v>103</v>
      </c>
      <c r="N51" s="42">
        <f t="shared" si="7"/>
        <v>1863552</v>
      </c>
      <c r="O51" s="65" t="s">
        <v>26</v>
      </c>
      <c r="P51" s="65" t="str">
        <f t="shared" si="8"/>
        <v>-</v>
      </c>
      <c r="Q51" s="43">
        <v>43523</v>
      </c>
      <c r="R51" s="43">
        <v>43585</v>
      </c>
      <c r="S51" s="123" t="s">
        <v>25</v>
      </c>
      <c r="T51" s="123" t="s">
        <v>26</v>
      </c>
    </row>
    <row r="52" spans="1:21" s="10" customFormat="1" ht="210" customHeight="1" x14ac:dyDescent="0.2">
      <c r="A52" s="38">
        <f t="shared" ref="A52" si="23">A51+1</f>
        <v>23</v>
      </c>
      <c r="B52" s="39" t="s">
        <v>71</v>
      </c>
      <c r="C52" s="39" t="s">
        <v>30</v>
      </c>
      <c r="D52" s="123" t="s">
        <v>125</v>
      </c>
      <c r="E52" s="40" t="s">
        <v>127</v>
      </c>
      <c r="F52" s="123">
        <v>168</v>
      </c>
      <c r="G52" s="122" t="s">
        <v>28</v>
      </c>
      <c r="H52" s="47">
        <v>1153.0509999999999</v>
      </c>
      <c r="I52" s="123">
        <v>70</v>
      </c>
      <c r="J52" s="123" t="s">
        <v>45</v>
      </c>
      <c r="K52" s="48">
        <f>1020.151*14200+132.9*14300</f>
        <v>16386614.199999999</v>
      </c>
      <c r="L52" s="59">
        <f t="shared" si="15"/>
        <v>16386614.199999999</v>
      </c>
      <c r="M52" s="42" t="s">
        <v>103</v>
      </c>
      <c r="N52" s="42">
        <f t="shared" si="7"/>
        <v>16386614.199999999</v>
      </c>
      <c r="O52" s="65" t="s">
        <v>26</v>
      </c>
      <c r="P52" s="65" t="str">
        <f t="shared" si="8"/>
        <v>-</v>
      </c>
      <c r="Q52" s="43">
        <v>43523</v>
      </c>
      <c r="R52" s="43">
        <v>43585</v>
      </c>
      <c r="S52" s="123" t="s">
        <v>25</v>
      </c>
      <c r="T52" s="123" t="s">
        <v>26</v>
      </c>
    </row>
    <row r="53" spans="1:21" s="10" customFormat="1" ht="178.5" customHeight="1" x14ac:dyDescent="0.2">
      <c r="A53" s="38">
        <f>A52+1</f>
        <v>24</v>
      </c>
      <c r="B53" s="39" t="s">
        <v>77</v>
      </c>
      <c r="C53" s="39" t="s">
        <v>30</v>
      </c>
      <c r="D53" s="130" t="s">
        <v>93</v>
      </c>
      <c r="E53" s="40" t="s">
        <v>123</v>
      </c>
      <c r="F53" s="130">
        <v>168</v>
      </c>
      <c r="G53" s="129" t="s">
        <v>28</v>
      </c>
      <c r="H53" s="41">
        <v>1099</v>
      </c>
      <c r="I53" s="130">
        <v>70</v>
      </c>
      <c r="J53" s="130" t="s">
        <v>29</v>
      </c>
      <c r="K53" s="42">
        <v>11736000</v>
      </c>
      <c r="L53" s="59">
        <f t="shared" si="15"/>
        <v>11736000</v>
      </c>
      <c r="M53" s="42" t="s">
        <v>103</v>
      </c>
      <c r="N53" s="42">
        <f t="shared" si="7"/>
        <v>11736000</v>
      </c>
      <c r="O53" s="65" t="s">
        <v>26</v>
      </c>
      <c r="P53" s="65" t="str">
        <f t="shared" si="8"/>
        <v>-</v>
      </c>
      <c r="Q53" s="43">
        <v>43533</v>
      </c>
      <c r="R53" s="43">
        <v>43830</v>
      </c>
      <c r="S53" s="44" t="s">
        <v>41</v>
      </c>
      <c r="T53" s="130" t="s">
        <v>26</v>
      </c>
    </row>
    <row r="54" spans="1:21" s="10" customFormat="1" ht="154.5" customHeight="1" x14ac:dyDescent="0.2">
      <c r="A54" s="38">
        <f t="shared" si="21"/>
        <v>25</v>
      </c>
      <c r="B54" s="39" t="s">
        <v>77</v>
      </c>
      <c r="C54" s="39" t="s">
        <v>30</v>
      </c>
      <c r="D54" s="109" t="s">
        <v>93</v>
      </c>
      <c r="E54" s="40" t="s">
        <v>123</v>
      </c>
      <c r="F54" s="54">
        <v>168</v>
      </c>
      <c r="G54" s="53" t="s">
        <v>28</v>
      </c>
      <c r="H54" s="41">
        <v>300</v>
      </c>
      <c r="I54" s="54">
        <v>70</v>
      </c>
      <c r="J54" s="54" t="s">
        <v>29</v>
      </c>
      <c r="K54" s="42">
        <f>H54*10663</f>
        <v>3198900</v>
      </c>
      <c r="L54" s="59">
        <f t="shared" si="15"/>
        <v>3198900</v>
      </c>
      <c r="M54" s="42" t="s">
        <v>103</v>
      </c>
      <c r="N54" s="42">
        <f t="shared" si="7"/>
        <v>3198900</v>
      </c>
      <c r="O54" s="65" t="s">
        <v>26</v>
      </c>
      <c r="P54" s="65" t="str">
        <f t="shared" si="8"/>
        <v>-</v>
      </c>
      <c r="Q54" s="43">
        <v>43533</v>
      </c>
      <c r="R54" s="43">
        <v>43830</v>
      </c>
      <c r="S54" s="44" t="s">
        <v>41</v>
      </c>
      <c r="T54" s="54" t="s">
        <v>26</v>
      </c>
    </row>
    <row r="55" spans="1:21" s="10" customFormat="1" ht="198.75" customHeight="1" x14ac:dyDescent="0.2">
      <c r="A55" s="14">
        <f t="shared" si="21"/>
        <v>26</v>
      </c>
      <c r="B55" s="2" t="s">
        <v>69</v>
      </c>
      <c r="C55" s="6" t="s">
        <v>74</v>
      </c>
      <c r="D55" s="119" t="s">
        <v>59</v>
      </c>
      <c r="E55" s="3" t="s">
        <v>110</v>
      </c>
      <c r="F55" s="119">
        <v>876</v>
      </c>
      <c r="G55" s="120" t="s">
        <v>50</v>
      </c>
      <c r="H55" s="4">
        <v>1</v>
      </c>
      <c r="I55" s="119">
        <v>46</v>
      </c>
      <c r="J55" s="119" t="s">
        <v>94</v>
      </c>
      <c r="K55" s="26">
        <v>10000000</v>
      </c>
      <c r="L55" s="59">
        <f t="shared" si="15"/>
        <v>10000000</v>
      </c>
      <c r="M55" s="42" t="s">
        <v>26</v>
      </c>
      <c r="N55" s="42" t="str">
        <f t="shared" si="7"/>
        <v>-</v>
      </c>
      <c r="O55" s="65" t="s">
        <v>26</v>
      </c>
      <c r="P55" s="65" t="str">
        <f t="shared" si="8"/>
        <v>-</v>
      </c>
      <c r="Q55" s="5">
        <v>43497</v>
      </c>
      <c r="R55" s="5">
        <v>43861</v>
      </c>
      <c r="S55" s="119" t="s">
        <v>25</v>
      </c>
      <c r="T55" s="119" t="s">
        <v>26</v>
      </c>
    </row>
    <row r="56" spans="1:21" s="10" customFormat="1" ht="111" customHeight="1" x14ac:dyDescent="0.2">
      <c r="A56" s="14">
        <f t="shared" si="21"/>
        <v>27</v>
      </c>
      <c r="B56" s="2" t="s">
        <v>69</v>
      </c>
      <c r="C56" s="2" t="s">
        <v>47</v>
      </c>
      <c r="D56" s="98" t="s">
        <v>32</v>
      </c>
      <c r="E56" s="3" t="s">
        <v>76</v>
      </c>
      <c r="F56" s="98">
        <v>168</v>
      </c>
      <c r="G56" s="97" t="s">
        <v>28</v>
      </c>
      <c r="H56" s="4">
        <v>900</v>
      </c>
      <c r="I56" s="98">
        <v>70</v>
      </c>
      <c r="J56" s="98" t="s">
        <v>29</v>
      </c>
      <c r="K56" s="26">
        <f>H56*27000</f>
        <v>24300000</v>
      </c>
      <c r="L56" s="59">
        <f t="shared" si="15"/>
        <v>24300000</v>
      </c>
      <c r="M56" s="42" t="s">
        <v>26</v>
      </c>
      <c r="N56" s="42" t="str">
        <f t="shared" si="7"/>
        <v>-</v>
      </c>
      <c r="O56" s="65" t="s">
        <v>26</v>
      </c>
      <c r="P56" s="65" t="str">
        <f t="shared" si="8"/>
        <v>-</v>
      </c>
      <c r="Q56" s="5">
        <v>43514</v>
      </c>
      <c r="R56" s="5">
        <v>43861</v>
      </c>
      <c r="S56" s="98" t="s">
        <v>31</v>
      </c>
      <c r="T56" s="98" t="s">
        <v>26</v>
      </c>
    </row>
    <row r="57" spans="1:21" s="10" customFormat="1" ht="123.75" customHeight="1" x14ac:dyDescent="0.2">
      <c r="A57" s="14">
        <f t="shared" ref="A57:A60" si="24">A56+1</f>
        <v>28</v>
      </c>
      <c r="B57" s="2" t="s">
        <v>69</v>
      </c>
      <c r="C57" s="2" t="s">
        <v>47</v>
      </c>
      <c r="D57" s="131" t="s">
        <v>32</v>
      </c>
      <c r="E57" s="3" t="s">
        <v>76</v>
      </c>
      <c r="F57" s="131">
        <v>168</v>
      </c>
      <c r="G57" s="132" t="s">
        <v>28</v>
      </c>
      <c r="H57" s="4">
        <v>900</v>
      </c>
      <c r="I57" s="131">
        <v>70</v>
      </c>
      <c r="J57" s="131" t="s">
        <v>29</v>
      </c>
      <c r="K57" s="26">
        <f>H57*27000</f>
        <v>24300000</v>
      </c>
      <c r="L57" s="59">
        <f t="shared" si="15"/>
        <v>24300000</v>
      </c>
      <c r="M57" s="42" t="s">
        <v>26</v>
      </c>
      <c r="N57" s="42" t="str">
        <f t="shared" si="7"/>
        <v>-</v>
      </c>
      <c r="O57" s="65" t="s">
        <v>26</v>
      </c>
      <c r="P57" s="65" t="str">
        <f t="shared" si="8"/>
        <v>-</v>
      </c>
      <c r="Q57" s="5">
        <v>43566</v>
      </c>
      <c r="R57" s="5">
        <v>43861</v>
      </c>
      <c r="S57" s="131" t="s">
        <v>25</v>
      </c>
      <c r="T57" s="131" t="s">
        <v>26</v>
      </c>
    </row>
    <row r="58" spans="1:21" s="10" customFormat="1" ht="153" customHeight="1" x14ac:dyDescent="0.2">
      <c r="A58" s="38">
        <f t="shared" si="24"/>
        <v>29</v>
      </c>
      <c r="B58" s="45" t="s">
        <v>69</v>
      </c>
      <c r="C58" s="45" t="s">
        <v>57</v>
      </c>
      <c r="D58" s="130" t="s">
        <v>58</v>
      </c>
      <c r="E58" s="40" t="s">
        <v>78</v>
      </c>
      <c r="F58" s="130">
        <v>168</v>
      </c>
      <c r="G58" s="129" t="s">
        <v>28</v>
      </c>
      <c r="H58" s="41">
        <v>800</v>
      </c>
      <c r="I58" s="130">
        <v>70</v>
      </c>
      <c r="J58" s="130" t="s">
        <v>29</v>
      </c>
      <c r="K58" s="42">
        <f>H58*20400</f>
        <v>16320000</v>
      </c>
      <c r="L58" s="59">
        <f t="shared" ref="L58" si="25">K58</f>
        <v>16320000</v>
      </c>
      <c r="M58" s="42" t="s">
        <v>103</v>
      </c>
      <c r="N58" s="42">
        <f t="shared" ref="N58" si="26">IF(M58="да",L58,"-")</f>
        <v>16320000</v>
      </c>
      <c r="O58" s="65" t="s">
        <v>26</v>
      </c>
      <c r="P58" s="65" t="str">
        <f t="shared" ref="P58" si="27">IF(O58="да",L58,"-")</f>
        <v>-</v>
      </c>
      <c r="Q58" s="43">
        <v>43538</v>
      </c>
      <c r="R58" s="43">
        <v>43861</v>
      </c>
      <c r="S58" s="90" t="s">
        <v>25</v>
      </c>
      <c r="T58" s="130" t="s">
        <v>26</v>
      </c>
      <c r="U58" s="55"/>
    </row>
    <row r="59" spans="1:21" s="10" customFormat="1" ht="132.75" customHeight="1" x14ac:dyDescent="0.2">
      <c r="A59" s="14">
        <f t="shared" si="24"/>
        <v>30</v>
      </c>
      <c r="B59" s="2" t="s">
        <v>69</v>
      </c>
      <c r="C59" s="115" t="s">
        <v>137</v>
      </c>
      <c r="D59" s="113" t="s">
        <v>138</v>
      </c>
      <c r="E59" s="3" t="s">
        <v>139</v>
      </c>
      <c r="F59" s="113">
        <v>168</v>
      </c>
      <c r="G59" s="115" t="s">
        <v>28</v>
      </c>
      <c r="H59" s="4">
        <v>5000</v>
      </c>
      <c r="I59" s="113">
        <v>70</v>
      </c>
      <c r="J59" s="113" t="s">
        <v>29</v>
      </c>
      <c r="K59" s="26">
        <f>H59*13500</f>
        <v>67500000</v>
      </c>
      <c r="L59" s="59">
        <f>2000*12300</f>
        <v>24600000</v>
      </c>
      <c r="M59" s="42" t="s">
        <v>26</v>
      </c>
      <c r="N59" s="42" t="str">
        <f t="shared" ref="N59:N60" si="28">IF(M59="да",L59,"-")</f>
        <v>-</v>
      </c>
      <c r="O59" s="65" t="s">
        <v>26</v>
      </c>
      <c r="P59" s="65" t="str">
        <f t="shared" ref="P59:P60" si="29">IF(O59="да",L59,"-")</f>
        <v>-</v>
      </c>
      <c r="Q59" s="5">
        <v>43549</v>
      </c>
      <c r="R59" s="5">
        <v>44227</v>
      </c>
      <c r="S59" s="128" t="s">
        <v>25</v>
      </c>
      <c r="T59" s="113" t="s">
        <v>26</v>
      </c>
      <c r="U59" s="57"/>
    </row>
    <row r="60" spans="1:21" s="10" customFormat="1" ht="119.25" customHeight="1" x14ac:dyDescent="0.2">
      <c r="A60" s="14">
        <f t="shared" si="24"/>
        <v>31</v>
      </c>
      <c r="B60" s="2" t="s">
        <v>69</v>
      </c>
      <c r="C60" s="2" t="s">
        <v>48</v>
      </c>
      <c r="D60" s="124" t="s">
        <v>33</v>
      </c>
      <c r="E60" s="3" t="s">
        <v>87</v>
      </c>
      <c r="F60" s="124">
        <v>168</v>
      </c>
      <c r="G60" s="125" t="s">
        <v>28</v>
      </c>
      <c r="H60" s="4">
        <v>740</v>
      </c>
      <c r="I60" s="124">
        <v>70</v>
      </c>
      <c r="J60" s="124" t="s">
        <v>29</v>
      </c>
      <c r="K60" s="26">
        <f>H60*33000</f>
        <v>24420000</v>
      </c>
      <c r="L60" s="59">
        <f t="shared" ref="L60" si="30">K60</f>
        <v>24420000</v>
      </c>
      <c r="M60" s="42" t="s">
        <v>26</v>
      </c>
      <c r="N60" s="42" t="str">
        <f t="shared" si="28"/>
        <v>-</v>
      </c>
      <c r="O60" s="65" t="s">
        <v>26</v>
      </c>
      <c r="P60" s="65" t="str">
        <f t="shared" si="29"/>
        <v>-</v>
      </c>
      <c r="Q60" s="5">
        <v>43538</v>
      </c>
      <c r="R60" s="5">
        <v>43861</v>
      </c>
      <c r="S60" s="124" t="s">
        <v>31</v>
      </c>
      <c r="T60" s="124" t="s">
        <v>26</v>
      </c>
      <c r="U60" s="57"/>
    </row>
    <row r="61" spans="1:21" s="10" customFormat="1" ht="33" customHeight="1" x14ac:dyDescent="0.2">
      <c r="A61" s="175" t="s">
        <v>140</v>
      </c>
      <c r="B61" s="176"/>
      <c r="C61" s="176"/>
      <c r="D61" s="176"/>
      <c r="E61" s="176"/>
      <c r="F61" s="176"/>
      <c r="G61" s="176"/>
      <c r="H61" s="176"/>
      <c r="I61" s="176"/>
      <c r="J61" s="176"/>
      <c r="K61" s="176"/>
      <c r="L61" s="176"/>
      <c r="M61" s="176"/>
      <c r="N61" s="176"/>
      <c r="O61" s="176"/>
      <c r="P61" s="176"/>
      <c r="Q61" s="176"/>
      <c r="R61" s="176"/>
      <c r="S61" s="176"/>
      <c r="T61" s="177"/>
    </row>
    <row r="62" spans="1:21" s="10" customFormat="1" ht="178.5" customHeight="1" x14ac:dyDescent="0.2">
      <c r="A62" s="38">
        <f>A60+1</f>
        <v>32</v>
      </c>
      <c r="B62" s="39" t="s">
        <v>77</v>
      </c>
      <c r="C62" s="39" t="s">
        <v>30</v>
      </c>
      <c r="D62" s="54" t="s">
        <v>88</v>
      </c>
      <c r="E62" s="40" t="s">
        <v>92</v>
      </c>
      <c r="F62" s="54">
        <v>168</v>
      </c>
      <c r="G62" s="53" t="s">
        <v>28</v>
      </c>
      <c r="H62" s="41">
        <v>500</v>
      </c>
      <c r="I62" s="54">
        <v>70</v>
      </c>
      <c r="J62" s="54" t="s">
        <v>29</v>
      </c>
      <c r="K62" s="42">
        <f>H62*10663</f>
        <v>5331500</v>
      </c>
      <c r="L62" s="59">
        <f t="shared" ref="L62" si="31">K62</f>
        <v>5331500</v>
      </c>
      <c r="M62" s="42" t="s">
        <v>103</v>
      </c>
      <c r="N62" s="42">
        <f t="shared" si="7"/>
        <v>5331500</v>
      </c>
      <c r="O62" s="65" t="s">
        <v>26</v>
      </c>
      <c r="P62" s="65" t="str">
        <f t="shared" ref="P62" si="32">IF(O62="да",L62,"-")</f>
        <v>-</v>
      </c>
      <c r="Q62" s="43">
        <v>43564</v>
      </c>
      <c r="R62" s="43">
        <v>43830</v>
      </c>
      <c r="S62" s="44" t="s">
        <v>41</v>
      </c>
      <c r="T62" s="54" t="s">
        <v>26</v>
      </c>
    </row>
    <row r="63" spans="1:21" s="10" customFormat="1" ht="150" customHeight="1" x14ac:dyDescent="0.2">
      <c r="A63" s="38">
        <f>A62+1</f>
        <v>33</v>
      </c>
      <c r="B63" s="39" t="s">
        <v>77</v>
      </c>
      <c r="C63" s="39" t="s">
        <v>30</v>
      </c>
      <c r="D63" s="109" t="s">
        <v>93</v>
      </c>
      <c r="E63" s="40" t="s">
        <v>123</v>
      </c>
      <c r="F63" s="109">
        <v>168</v>
      </c>
      <c r="G63" s="110" t="s">
        <v>28</v>
      </c>
      <c r="H63" s="41">
        <v>500</v>
      </c>
      <c r="I63" s="109">
        <v>70</v>
      </c>
      <c r="J63" s="109" t="s">
        <v>29</v>
      </c>
      <c r="K63" s="42">
        <f>H63*10663</f>
        <v>5331500</v>
      </c>
      <c r="L63" s="59">
        <f t="shared" ref="L63:L69" si="33">K63</f>
        <v>5331500</v>
      </c>
      <c r="M63" s="42" t="s">
        <v>103</v>
      </c>
      <c r="N63" s="42">
        <f t="shared" ref="N63:N70" si="34">IF(M63="да",L63,"-")</f>
        <v>5331500</v>
      </c>
      <c r="O63" s="65" t="s">
        <v>26</v>
      </c>
      <c r="P63" s="65" t="str">
        <f t="shared" ref="P63:P70" si="35">IF(O63="да",L63,"-")</f>
        <v>-</v>
      </c>
      <c r="Q63" s="43">
        <v>43564</v>
      </c>
      <c r="R63" s="43">
        <v>43830</v>
      </c>
      <c r="S63" s="44" t="s">
        <v>41</v>
      </c>
      <c r="T63" s="109" t="s">
        <v>26</v>
      </c>
    </row>
    <row r="64" spans="1:21" s="10" customFormat="1" ht="156" customHeight="1" x14ac:dyDescent="0.2">
      <c r="A64" s="38">
        <f t="shared" ref="A64:A67" si="36">A63+1</f>
        <v>34</v>
      </c>
      <c r="B64" s="39" t="s">
        <v>77</v>
      </c>
      <c r="C64" s="39" t="s">
        <v>30</v>
      </c>
      <c r="D64" s="127" t="s">
        <v>93</v>
      </c>
      <c r="E64" s="40" t="s">
        <v>123</v>
      </c>
      <c r="F64" s="127">
        <v>168</v>
      </c>
      <c r="G64" s="126" t="s">
        <v>28</v>
      </c>
      <c r="H64" s="41">
        <v>153</v>
      </c>
      <c r="I64" s="127">
        <v>70</v>
      </c>
      <c r="J64" s="127" t="s">
        <v>29</v>
      </c>
      <c r="K64" s="42">
        <v>1634000</v>
      </c>
      <c r="L64" s="59">
        <f t="shared" si="33"/>
        <v>1634000</v>
      </c>
      <c r="M64" s="42" t="s">
        <v>103</v>
      </c>
      <c r="N64" s="42">
        <f t="shared" si="34"/>
        <v>1634000</v>
      </c>
      <c r="O64" s="65" t="s">
        <v>26</v>
      </c>
      <c r="P64" s="65" t="str">
        <f t="shared" si="35"/>
        <v>-</v>
      </c>
      <c r="Q64" s="43">
        <v>43539</v>
      </c>
      <c r="R64" s="43">
        <v>43830</v>
      </c>
      <c r="S64" s="44" t="s">
        <v>41</v>
      </c>
      <c r="T64" s="127" t="s">
        <v>26</v>
      </c>
    </row>
    <row r="65" spans="1:20" s="10" customFormat="1" ht="153" customHeight="1" x14ac:dyDescent="0.2">
      <c r="A65" s="38">
        <f t="shared" si="36"/>
        <v>35</v>
      </c>
      <c r="B65" s="39" t="s">
        <v>77</v>
      </c>
      <c r="C65" s="39" t="s">
        <v>30</v>
      </c>
      <c r="D65" s="130" t="s">
        <v>93</v>
      </c>
      <c r="E65" s="40" t="s">
        <v>123</v>
      </c>
      <c r="F65" s="130">
        <v>168</v>
      </c>
      <c r="G65" s="129" t="s">
        <v>28</v>
      </c>
      <c r="H65" s="41">
        <v>297</v>
      </c>
      <c r="I65" s="130">
        <v>70</v>
      </c>
      <c r="J65" s="130" t="s">
        <v>29</v>
      </c>
      <c r="K65" s="42">
        <v>2883636.45</v>
      </c>
      <c r="L65" s="59">
        <f t="shared" si="33"/>
        <v>2883636.45</v>
      </c>
      <c r="M65" s="42" t="s">
        <v>103</v>
      </c>
      <c r="N65" s="42">
        <f t="shared" si="34"/>
        <v>2883636.45</v>
      </c>
      <c r="O65" s="65" t="s">
        <v>26</v>
      </c>
      <c r="P65" s="65" t="str">
        <f t="shared" si="35"/>
        <v>-</v>
      </c>
      <c r="Q65" s="43">
        <v>43533</v>
      </c>
      <c r="R65" s="43">
        <v>43830</v>
      </c>
      <c r="S65" s="44" t="s">
        <v>41</v>
      </c>
      <c r="T65" s="130" t="s">
        <v>26</v>
      </c>
    </row>
    <row r="66" spans="1:20" s="10" customFormat="1" ht="150.75" customHeight="1" x14ac:dyDescent="0.2">
      <c r="A66" s="38">
        <f t="shared" si="36"/>
        <v>36</v>
      </c>
      <c r="B66" s="39" t="s">
        <v>77</v>
      </c>
      <c r="C66" s="39" t="s">
        <v>30</v>
      </c>
      <c r="D66" s="130" t="s">
        <v>93</v>
      </c>
      <c r="E66" s="40" t="s">
        <v>123</v>
      </c>
      <c r="F66" s="130">
        <v>168</v>
      </c>
      <c r="G66" s="129" t="s">
        <v>28</v>
      </c>
      <c r="H66" s="41">
        <v>523</v>
      </c>
      <c r="I66" s="130">
        <v>70</v>
      </c>
      <c r="J66" s="130" t="s">
        <v>29</v>
      </c>
      <c r="K66" s="42">
        <v>5076363.79</v>
      </c>
      <c r="L66" s="59">
        <f t="shared" si="33"/>
        <v>5076363.79</v>
      </c>
      <c r="M66" s="42" t="s">
        <v>103</v>
      </c>
      <c r="N66" s="42">
        <f t="shared" si="34"/>
        <v>5076363.79</v>
      </c>
      <c r="O66" s="65" t="s">
        <v>26</v>
      </c>
      <c r="P66" s="65" t="str">
        <f t="shared" si="35"/>
        <v>-</v>
      </c>
      <c r="Q66" s="43">
        <v>43533</v>
      </c>
      <c r="R66" s="43">
        <v>43830</v>
      </c>
      <c r="S66" s="44" t="s">
        <v>41</v>
      </c>
      <c r="T66" s="130" t="s">
        <v>26</v>
      </c>
    </row>
    <row r="67" spans="1:20" s="10" customFormat="1" ht="132.75" customHeight="1" x14ac:dyDescent="0.2">
      <c r="A67" s="14">
        <f t="shared" si="36"/>
        <v>37</v>
      </c>
      <c r="B67" s="2" t="s">
        <v>69</v>
      </c>
      <c r="C67" s="2" t="s">
        <v>47</v>
      </c>
      <c r="D67" s="136" t="s">
        <v>40</v>
      </c>
      <c r="E67" s="3" t="s">
        <v>76</v>
      </c>
      <c r="F67" s="136">
        <v>168</v>
      </c>
      <c r="G67" s="135" t="s">
        <v>28</v>
      </c>
      <c r="H67" s="4">
        <v>1100</v>
      </c>
      <c r="I67" s="136">
        <v>70</v>
      </c>
      <c r="J67" s="136" t="s">
        <v>29</v>
      </c>
      <c r="K67" s="26">
        <f>H67*17790*1.2</f>
        <v>23482800</v>
      </c>
      <c r="L67" s="59">
        <f t="shared" si="33"/>
        <v>23482800</v>
      </c>
      <c r="M67" s="42" t="s">
        <v>26</v>
      </c>
      <c r="N67" s="42" t="str">
        <f t="shared" si="34"/>
        <v>-</v>
      </c>
      <c r="O67" s="65" t="s">
        <v>26</v>
      </c>
      <c r="P67" s="65" t="str">
        <f t="shared" si="35"/>
        <v>-</v>
      </c>
      <c r="Q67" s="5">
        <v>43572</v>
      </c>
      <c r="R67" s="5">
        <v>43861</v>
      </c>
      <c r="S67" s="136" t="s">
        <v>25</v>
      </c>
      <c r="T67" s="136" t="s">
        <v>26</v>
      </c>
    </row>
    <row r="68" spans="1:20" s="10" customFormat="1" ht="156" customHeight="1" x14ac:dyDescent="0.2">
      <c r="A68" s="38">
        <f>A49+1</f>
        <v>68</v>
      </c>
      <c r="B68" s="39" t="s">
        <v>77</v>
      </c>
      <c r="C68" s="39" t="s">
        <v>30</v>
      </c>
      <c r="D68" s="134" t="s">
        <v>93</v>
      </c>
      <c r="E68" s="40" t="s">
        <v>123</v>
      </c>
      <c r="F68" s="134">
        <v>168</v>
      </c>
      <c r="G68" s="133" t="s">
        <v>28</v>
      </c>
      <c r="H68" s="41">
        <v>137</v>
      </c>
      <c r="I68" s="134">
        <v>70</v>
      </c>
      <c r="J68" s="134" t="s">
        <v>29</v>
      </c>
      <c r="K68" s="42">
        <v>1330000.04</v>
      </c>
      <c r="L68" s="59">
        <f t="shared" si="33"/>
        <v>1330000.04</v>
      </c>
      <c r="M68" s="42" t="s">
        <v>103</v>
      </c>
      <c r="N68" s="42">
        <f t="shared" si="34"/>
        <v>1330000.04</v>
      </c>
      <c r="O68" s="65" t="s">
        <v>26</v>
      </c>
      <c r="P68" s="65" t="str">
        <f t="shared" si="35"/>
        <v>-</v>
      </c>
      <c r="Q68" s="43">
        <v>43572</v>
      </c>
      <c r="R68" s="43">
        <v>43830</v>
      </c>
      <c r="S68" s="44" t="s">
        <v>41</v>
      </c>
      <c r="T68" s="134" t="s">
        <v>26</v>
      </c>
    </row>
    <row r="69" spans="1:20" s="10" customFormat="1" ht="156" customHeight="1" x14ac:dyDescent="0.2">
      <c r="A69" s="38">
        <f>A68+1</f>
        <v>69</v>
      </c>
      <c r="B69" s="39" t="s">
        <v>77</v>
      </c>
      <c r="C69" s="39" t="s">
        <v>30</v>
      </c>
      <c r="D69" s="134" t="s">
        <v>93</v>
      </c>
      <c r="E69" s="40" t="s">
        <v>123</v>
      </c>
      <c r="F69" s="134">
        <v>168</v>
      </c>
      <c r="G69" s="133" t="s">
        <v>28</v>
      </c>
      <c r="H69" s="41">
        <v>132</v>
      </c>
      <c r="I69" s="134">
        <v>70</v>
      </c>
      <c r="J69" s="134" t="s">
        <v>29</v>
      </c>
      <c r="K69" s="42">
        <v>1280909.1299999999</v>
      </c>
      <c r="L69" s="59">
        <f t="shared" si="33"/>
        <v>1280909.1299999999</v>
      </c>
      <c r="M69" s="42" t="s">
        <v>103</v>
      </c>
      <c r="N69" s="42">
        <f t="shared" si="34"/>
        <v>1280909.1299999999</v>
      </c>
      <c r="O69" s="65" t="s">
        <v>26</v>
      </c>
      <c r="P69" s="65" t="str">
        <f t="shared" si="35"/>
        <v>-</v>
      </c>
      <c r="Q69" s="43">
        <v>43572</v>
      </c>
      <c r="R69" s="43">
        <v>43830</v>
      </c>
      <c r="S69" s="44" t="s">
        <v>41</v>
      </c>
      <c r="T69" s="134" t="s">
        <v>26</v>
      </c>
    </row>
    <row r="70" spans="1:20" ht="159" customHeight="1" x14ac:dyDescent="0.2">
      <c r="A70" s="14">
        <f>A69+1</f>
        <v>70</v>
      </c>
      <c r="B70" s="2" t="s">
        <v>69</v>
      </c>
      <c r="C70" s="6" t="s">
        <v>74</v>
      </c>
      <c r="D70" s="137" t="s">
        <v>113</v>
      </c>
      <c r="E70" s="3" t="s">
        <v>114</v>
      </c>
      <c r="F70" s="137">
        <v>876</v>
      </c>
      <c r="G70" s="138" t="s">
        <v>50</v>
      </c>
      <c r="H70" s="4">
        <v>1</v>
      </c>
      <c r="I70" s="137">
        <v>61</v>
      </c>
      <c r="J70" s="137" t="s">
        <v>115</v>
      </c>
      <c r="K70" s="26">
        <v>15000000</v>
      </c>
      <c r="L70" s="59">
        <v>15000000</v>
      </c>
      <c r="M70" s="42" t="s">
        <v>26</v>
      </c>
      <c r="N70" s="42" t="str">
        <f t="shared" si="34"/>
        <v>-</v>
      </c>
      <c r="O70" s="65" t="s">
        <v>26</v>
      </c>
      <c r="P70" s="65" t="str">
        <f t="shared" si="35"/>
        <v>-</v>
      </c>
      <c r="Q70" s="5">
        <v>43598</v>
      </c>
      <c r="R70" s="5">
        <v>43830</v>
      </c>
      <c r="S70" s="137" t="s">
        <v>25</v>
      </c>
      <c r="T70" s="137" t="s">
        <v>26</v>
      </c>
    </row>
    <row r="71" spans="1:20" ht="120" customHeight="1" x14ac:dyDescent="0.2">
      <c r="A71" s="144">
        <f>A70+1</f>
        <v>71</v>
      </c>
      <c r="B71" s="141" t="s">
        <v>150</v>
      </c>
      <c r="C71" s="141" t="s">
        <v>151</v>
      </c>
      <c r="D71" s="69" t="s">
        <v>152</v>
      </c>
      <c r="E71" s="70" t="s">
        <v>153</v>
      </c>
      <c r="F71" s="69">
        <v>642</v>
      </c>
      <c r="G71" s="68" t="s">
        <v>148</v>
      </c>
      <c r="H71" s="71">
        <v>1</v>
      </c>
      <c r="I71" s="69">
        <v>70</v>
      </c>
      <c r="J71" s="69" t="s">
        <v>29</v>
      </c>
      <c r="K71" s="65">
        <v>111331.49</v>
      </c>
      <c r="L71" s="59">
        <v>111331.49</v>
      </c>
      <c r="M71" s="142" t="s">
        <v>26</v>
      </c>
      <c r="N71" s="142">
        <v>0</v>
      </c>
      <c r="O71" s="143" t="s">
        <v>103</v>
      </c>
      <c r="P71" s="65">
        <v>111331.49</v>
      </c>
      <c r="Q71" s="72">
        <v>43608</v>
      </c>
      <c r="R71" s="72">
        <v>43987</v>
      </c>
      <c r="S71" s="63" t="s">
        <v>25</v>
      </c>
      <c r="T71" s="69" t="s">
        <v>26</v>
      </c>
    </row>
    <row r="72" spans="1:20" ht="101.25" customHeight="1" x14ac:dyDescent="0.2">
      <c r="A72" s="147">
        <f>A71+1</f>
        <v>72</v>
      </c>
      <c r="B72" s="6" t="s">
        <v>154</v>
      </c>
      <c r="C72" s="6" t="s">
        <v>154</v>
      </c>
      <c r="D72" s="140" t="s">
        <v>155</v>
      </c>
      <c r="E72" s="3" t="s">
        <v>156</v>
      </c>
      <c r="F72" s="140">
        <v>642</v>
      </c>
      <c r="G72" s="139" t="s">
        <v>148</v>
      </c>
      <c r="H72" s="4">
        <v>1</v>
      </c>
      <c r="I72" s="140">
        <v>70</v>
      </c>
      <c r="J72" s="148" t="s">
        <v>29</v>
      </c>
      <c r="K72" s="26">
        <v>200000</v>
      </c>
      <c r="L72" s="59">
        <v>70000</v>
      </c>
      <c r="M72" s="142" t="s">
        <v>26</v>
      </c>
      <c r="N72" s="42" t="str">
        <f t="shared" ref="N72" si="37">IF(M72="да",L72,"-")</f>
        <v>-</v>
      </c>
      <c r="O72" s="65" t="s">
        <v>26</v>
      </c>
      <c r="P72" s="65" t="str">
        <f t="shared" ref="P72" si="38">IF(O72="да",L72,"-")</f>
        <v>-</v>
      </c>
      <c r="Q72" s="5">
        <v>43637</v>
      </c>
      <c r="R72" s="5">
        <v>44196</v>
      </c>
      <c r="S72" s="12" t="s">
        <v>25</v>
      </c>
      <c r="T72" s="140" t="s">
        <v>26</v>
      </c>
    </row>
    <row r="73" spans="1:20" ht="25.5" customHeight="1" x14ac:dyDescent="0.2">
      <c r="A73" s="175" t="s">
        <v>141</v>
      </c>
      <c r="B73" s="176"/>
      <c r="C73" s="176"/>
      <c r="D73" s="176"/>
      <c r="E73" s="176"/>
      <c r="F73" s="176"/>
      <c r="G73" s="176"/>
      <c r="H73" s="176"/>
      <c r="I73" s="176"/>
      <c r="J73" s="176"/>
      <c r="K73" s="176"/>
      <c r="L73" s="176"/>
      <c r="M73" s="176"/>
      <c r="N73" s="176"/>
      <c r="O73" s="176"/>
      <c r="P73" s="176"/>
      <c r="Q73" s="176"/>
      <c r="R73" s="176"/>
      <c r="S73" s="176"/>
      <c r="T73" s="177"/>
    </row>
    <row r="74" spans="1:20" ht="252" customHeight="1" x14ac:dyDescent="0.2">
      <c r="A74" s="18">
        <f>A67+1</f>
        <v>38</v>
      </c>
      <c r="B74" s="2" t="s">
        <v>69</v>
      </c>
      <c r="C74" s="6" t="s">
        <v>74</v>
      </c>
      <c r="D74" s="50" t="s">
        <v>56</v>
      </c>
      <c r="E74" s="3" t="s">
        <v>65</v>
      </c>
      <c r="F74" s="50">
        <v>876</v>
      </c>
      <c r="G74" s="51" t="s">
        <v>50</v>
      </c>
      <c r="H74" s="4">
        <v>1</v>
      </c>
      <c r="I74" s="113">
        <v>61</v>
      </c>
      <c r="J74" s="113" t="s">
        <v>115</v>
      </c>
      <c r="K74" s="26">
        <v>1507722.72</v>
      </c>
      <c r="L74" s="59">
        <f>K74-K74</f>
        <v>0</v>
      </c>
      <c r="M74" s="42" t="s">
        <v>26</v>
      </c>
      <c r="N74" s="42" t="str">
        <f t="shared" si="7"/>
        <v>-</v>
      </c>
      <c r="O74" s="65" t="s">
        <v>26</v>
      </c>
      <c r="P74" s="65" t="str">
        <f t="shared" ref="P74:P88" si="39">IF(O74="да",L74,"-")</f>
        <v>-</v>
      </c>
      <c r="Q74" s="5">
        <v>43657</v>
      </c>
      <c r="R74" s="5">
        <v>43921</v>
      </c>
      <c r="S74" s="50" t="s">
        <v>25</v>
      </c>
      <c r="T74" s="50" t="s">
        <v>26</v>
      </c>
    </row>
    <row r="75" spans="1:20" ht="147" customHeight="1" x14ac:dyDescent="0.2">
      <c r="A75" s="46">
        <f>A74+1</f>
        <v>39</v>
      </c>
      <c r="B75" s="39" t="s">
        <v>77</v>
      </c>
      <c r="C75" s="39" t="s">
        <v>30</v>
      </c>
      <c r="D75" s="130" t="s">
        <v>93</v>
      </c>
      <c r="E75" s="40" t="s">
        <v>123</v>
      </c>
      <c r="F75" s="130">
        <v>168</v>
      </c>
      <c r="G75" s="129" t="s">
        <v>28</v>
      </c>
      <c r="H75" s="41">
        <v>154</v>
      </c>
      <c r="I75" s="130">
        <v>70</v>
      </c>
      <c r="J75" s="130" t="s">
        <v>29</v>
      </c>
      <c r="K75" s="42">
        <v>1645000</v>
      </c>
      <c r="L75" s="59">
        <f t="shared" ref="L75" si="40">K75</f>
        <v>1645000</v>
      </c>
      <c r="M75" s="42" t="s">
        <v>103</v>
      </c>
      <c r="N75" s="42">
        <f t="shared" si="7"/>
        <v>1645000</v>
      </c>
      <c r="O75" s="65" t="s">
        <v>26</v>
      </c>
      <c r="P75" s="65" t="str">
        <f t="shared" si="39"/>
        <v>-</v>
      </c>
      <c r="Q75" s="43">
        <v>43533</v>
      </c>
      <c r="R75" s="43">
        <v>43830</v>
      </c>
      <c r="S75" s="44" t="s">
        <v>41</v>
      </c>
      <c r="T75" s="130" t="s">
        <v>26</v>
      </c>
    </row>
    <row r="76" spans="1:20" ht="83.25" customHeight="1" x14ac:dyDescent="0.2">
      <c r="A76" s="46">
        <f t="shared" ref="A76:A81" si="41">A75+1</f>
        <v>40</v>
      </c>
      <c r="B76" s="152" t="s">
        <v>61</v>
      </c>
      <c r="C76" s="152" t="s">
        <v>79</v>
      </c>
      <c r="D76" s="54" t="s">
        <v>42</v>
      </c>
      <c r="E76" s="149" t="s">
        <v>62</v>
      </c>
      <c r="F76" s="149">
        <v>168</v>
      </c>
      <c r="G76" s="152" t="s">
        <v>28</v>
      </c>
      <c r="H76" s="41">
        <v>10000</v>
      </c>
      <c r="I76" s="145">
        <v>70401</v>
      </c>
      <c r="J76" s="146" t="s">
        <v>64</v>
      </c>
      <c r="K76" s="42">
        <v>15727000</v>
      </c>
      <c r="L76" s="59">
        <f>K76*0.7</f>
        <v>11008900</v>
      </c>
      <c r="M76" s="42" t="s">
        <v>103</v>
      </c>
      <c r="N76" s="42">
        <f t="shared" si="7"/>
        <v>11008900</v>
      </c>
      <c r="O76" s="65" t="s">
        <v>26</v>
      </c>
      <c r="P76" s="65" t="str">
        <f t="shared" si="39"/>
        <v>-</v>
      </c>
      <c r="Q76" s="43">
        <v>43647</v>
      </c>
      <c r="R76" s="43">
        <v>44043</v>
      </c>
      <c r="S76" s="44" t="s">
        <v>25</v>
      </c>
      <c r="T76" s="146" t="s">
        <v>26</v>
      </c>
    </row>
    <row r="77" spans="1:20" ht="90.75" customHeight="1" x14ac:dyDescent="0.2">
      <c r="A77" s="46">
        <f t="shared" si="41"/>
        <v>41</v>
      </c>
      <c r="B77" s="153"/>
      <c r="C77" s="153"/>
      <c r="D77" s="54" t="s">
        <v>43</v>
      </c>
      <c r="E77" s="150"/>
      <c r="F77" s="150"/>
      <c r="G77" s="153"/>
      <c r="H77" s="41">
        <v>5000</v>
      </c>
      <c r="I77" s="145">
        <v>70238</v>
      </c>
      <c r="J77" s="146" t="s">
        <v>37</v>
      </c>
      <c r="K77" s="42">
        <v>8000000</v>
      </c>
      <c r="L77" s="59">
        <f t="shared" ref="L77:L79" si="42">K77*0.7</f>
        <v>5600000</v>
      </c>
      <c r="M77" s="42" t="s">
        <v>103</v>
      </c>
      <c r="N77" s="42">
        <f t="shared" si="7"/>
        <v>5600000</v>
      </c>
      <c r="O77" s="65" t="s">
        <v>26</v>
      </c>
      <c r="P77" s="65" t="str">
        <f t="shared" si="39"/>
        <v>-</v>
      </c>
      <c r="Q77" s="43">
        <v>43647</v>
      </c>
      <c r="R77" s="43">
        <v>44043</v>
      </c>
      <c r="S77" s="44" t="s">
        <v>25</v>
      </c>
      <c r="T77" s="146" t="s">
        <v>26</v>
      </c>
    </row>
    <row r="78" spans="1:20" ht="82.5" customHeight="1" x14ac:dyDescent="0.2">
      <c r="A78" s="46">
        <f t="shared" si="41"/>
        <v>42</v>
      </c>
      <c r="B78" s="153"/>
      <c r="C78" s="153"/>
      <c r="D78" s="54" t="s">
        <v>63</v>
      </c>
      <c r="E78" s="150"/>
      <c r="F78" s="150"/>
      <c r="G78" s="153"/>
      <c r="H78" s="41">
        <v>1000</v>
      </c>
      <c r="I78" s="145">
        <v>70226</v>
      </c>
      <c r="J78" s="146" t="s">
        <v>36</v>
      </c>
      <c r="K78" s="42">
        <v>1140000</v>
      </c>
      <c r="L78" s="59">
        <f t="shared" si="42"/>
        <v>798000</v>
      </c>
      <c r="M78" s="42" t="s">
        <v>103</v>
      </c>
      <c r="N78" s="42">
        <f t="shared" si="7"/>
        <v>798000</v>
      </c>
      <c r="O78" s="65" t="s">
        <v>26</v>
      </c>
      <c r="P78" s="65" t="str">
        <f t="shared" si="39"/>
        <v>-</v>
      </c>
      <c r="Q78" s="43">
        <v>43647</v>
      </c>
      <c r="R78" s="43">
        <v>44043</v>
      </c>
      <c r="S78" s="44" t="s">
        <v>25</v>
      </c>
      <c r="T78" s="146" t="s">
        <v>26</v>
      </c>
    </row>
    <row r="79" spans="1:20" ht="82.5" customHeight="1" x14ac:dyDescent="0.2">
      <c r="A79" s="46">
        <f>A72+1</f>
        <v>73</v>
      </c>
      <c r="B79" s="154"/>
      <c r="C79" s="154"/>
      <c r="D79" s="146" t="s">
        <v>160</v>
      </c>
      <c r="E79" s="151"/>
      <c r="F79" s="151"/>
      <c r="G79" s="154"/>
      <c r="H79" s="41">
        <v>5000</v>
      </c>
      <c r="I79" s="145">
        <v>70248</v>
      </c>
      <c r="J79" s="146" t="s">
        <v>159</v>
      </c>
      <c r="K79" s="42">
        <v>6124000</v>
      </c>
      <c r="L79" s="59">
        <f t="shared" si="42"/>
        <v>4286800</v>
      </c>
      <c r="M79" s="42" t="s">
        <v>103</v>
      </c>
      <c r="N79" s="42">
        <f t="shared" si="7"/>
        <v>4286800</v>
      </c>
      <c r="O79" s="65" t="s">
        <v>26</v>
      </c>
      <c r="P79" s="65" t="str">
        <f t="shared" si="39"/>
        <v>-</v>
      </c>
      <c r="Q79" s="43">
        <v>43647</v>
      </c>
      <c r="R79" s="43">
        <v>44043</v>
      </c>
      <c r="S79" s="44" t="s">
        <v>25</v>
      </c>
      <c r="T79" s="146" t="s">
        <v>26</v>
      </c>
    </row>
    <row r="80" spans="1:20" ht="143.25" customHeight="1" x14ac:dyDescent="0.2">
      <c r="A80" s="74">
        <f>A78+1</f>
        <v>43</v>
      </c>
      <c r="B80" s="68" t="s">
        <v>46</v>
      </c>
      <c r="C80" s="75" t="s">
        <v>66</v>
      </c>
      <c r="D80" s="69" t="s">
        <v>22</v>
      </c>
      <c r="E80" s="70" t="s">
        <v>38</v>
      </c>
      <c r="F80" s="69">
        <v>698</v>
      </c>
      <c r="G80" s="68" t="s">
        <v>23</v>
      </c>
      <c r="H80" s="69">
        <v>4</v>
      </c>
      <c r="I80" s="68">
        <v>70401</v>
      </c>
      <c r="J80" s="69" t="s">
        <v>24</v>
      </c>
      <c r="K80" s="65">
        <f>3920*4*11</f>
        <v>172480</v>
      </c>
      <c r="L80" s="59">
        <f>K80-78400</f>
        <v>94080</v>
      </c>
      <c r="M80" s="42" t="s">
        <v>26</v>
      </c>
      <c r="N80" s="42" t="str">
        <f>IF(M80="да",L80,"-")</f>
        <v>-</v>
      </c>
      <c r="O80" s="65" t="s">
        <v>103</v>
      </c>
      <c r="P80" s="65">
        <f>IF(O80="да",L80,"-")</f>
        <v>94080</v>
      </c>
      <c r="Q80" s="72">
        <v>43647</v>
      </c>
      <c r="R80" s="72">
        <v>44012</v>
      </c>
      <c r="S80" s="69" t="s">
        <v>25</v>
      </c>
      <c r="T80" s="69" t="s">
        <v>26</v>
      </c>
    </row>
    <row r="81" spans="1:20" ht="163.5" customHeight="1" x14ac:dyDescent="0.2">
      <c r="A81" s="46">
        <f t="shared" si="41"/>
        <v>44</v>
      </c>
      <c r="B81" s="39" t="s">
        <v>77</v>
      </c>
      <c r="C81" s="39" t="s">
        <v>30</v>
      </c>
      <c r="D81" s="134" t="s">
        <v>93</v>
      </c>
      <c r="E81" s="40" t="s">
        <v>123</v>
      </c>
      <c r="F81" s="134">
        <v>168</v>
      </c>
      <c r="G81" s="133" t="s">
        <v>28</v>
      </c>
      <c r="H81" s="41">
        <v>79</v>
      </c>
      <c r="I81" s="134">
        <v>70</v>
      </c>
      <c r="J81" s="134" t="s">
        <v>29</v>
      </c>
      <c r="K81" s="42">
        <v>767272.75</v>
      </c>
      <c r="L81" s="59">
        <f t="shared" ref="L81:L82" si="43">K81</f>
        <v>767272.75</v>
      </c>
      <c r="M81" s="42" t="s">
        <v>103</v>
      </c>
      <c r="N81" s="42">
        <f t="shared" ref="N81:N82" si="44">IF(M81="да",L81,"-")</f>
        <v>767272.75</v>
      </c>
      <c r="O81" s="65" t="s">
        <v>26</v>
      </c>
      <c r="P81" s="65" t="str">
        <f t="shared" ref="P81:P82" si="45">IF(O81="да",L81,"-")</f>
        <v>-</v>
      </c>
      <c r="Q81" s="43">
        <v>43572</v>
      </c>
      <c r="R81" s="43">
        <v>43830</v>
      </c>
      <c r="S81" s="44" t="s">
        <v>41</v>
      </c>
      <c r="T81" s="134" t="s">
        <v>26</v>
      </c>
    </row>
    <row r="82" spans="1:20" ht="151.5" customHeight="1" x14ac:dyDescent="0.2">
      <c r="A82" s="46">
        <f t="shared" ref="A82:A88" si="46">A81+1</f>
        <v>45</v>
      </c>
      <c r="B82" s="39" t="s">
        <v>77</v>
      </c>
      <c r="C82" s="39" t="s">
        <v>30</v>
      </c>
      <c r="D82" s="134" t="s">
        <v>93</v>
      </c>
      <c r="E82" s="40" t="s">
        <v>123</v>
      </c>
      <c r="F82" s="134">
        <v>168</v>
      </c>
      <c r="G82" s="133" t="s">
        <v>28</v>
      </c>
      <c r="H82" s="41">
        <v>126</v>
      </c>
      <c r="I82" s="134">
        <v>70</v>
      </c>
      <c r="J82" s="134" t="s">
        <v>29</v>
      </c>
      <c r="K82" s="42">
        <v>1223636.3999999999</v>
      </c>
      <c r="L82" s="59">
        <f t="shared" si="43"/>
        <v>1223636.3999999999</v>
      </c>
      <c r="M82" s="42" t="s">
        <v>103</v>
      </c>
      <c r="N82" s="42">
        <f t="shared" si="44"/>
        <v>1223636.3999999999</v>
      </c>
      <c r="O82" s="65" t="s">
        <v>26</v>
      </c>
      <c r="P82" s="65" t="str">
        <f t="shared" si="45"/>
        <v>-</v>
      </c>
      <c r="Q82" s="43">
        <v>43572</v>
      </c>
      <c r="R82" s="43">
        <v>43830</v>
      </c>
      <c r="S82" s="44" t="s">
        <v>41</v>
      </c>
      <c r="T82" s="134" t="s">
        <v>26</v>
      </c>
    </row>
    <row r="83" spans="1:20" ht="147.75" customHeight="1" x14ac:dyDescent="0.2">
      <c r="A83" s="46">
        <f t="shared" si="46"/>
        <v>46</v>
      </c>
      <c r="B83" s="39" t="s">
        <v>77</v>
      </c>
      <c r="C83" s="39" t="s">
        <v>30</v>
      </c>
      <c r="D83" s="109" t="s">
        <v>93</v>
      </c>
      <c r="E83" s="40" t="s">
        <v>123</v>
      </c>
      <c r="F83" s="54">
        <v>168</v>
      </c>
      <c r="G83" s="53" t="s">
        <v>28</v>
      </c>
      <c r="H83" s="41">
        <v>700</v>
      </c>
      <c r="I83" s="54">
        <v>70</v>
      </c>
      <c r="J83" s="54" t="s">
        <v>29</v>
      </c>
      <c r="K83" s="42">
        <f>H83*10663</f>
        <v>7464100</v>
      </c>
      <c r="L83" s="59">
        <f t="shared" ref="L83:L88" si="47">K83</f>
        <v>7464100</v>
      </c>
      <c r="M83" s="42" t="s">
        <v>103</v>
      </c>
      <c r="N83" s="42">
        <f t="shared" si="7"/>
        <v>7464100</v>
      </c>
      <c r="O83" s="65" t="s">
        <v>26</v>
      </c>
      <c r="P83" s="65" t="str">
        <f t="shared" si="39"/>
        <v>-</v>
      </c>
      <c r="Q83" s="43">
        <v>43686</v>
      </c>
      <c r="R83" s="43">
        <v>43830</v>
      </c>
      <c r="S83" s="44" t="s">
        <v>41</v>
      </c>
      <c r="T83" s="54" t="s">
        <v>26</v>
      </c>
    </row>
    <row r="84" spans="1:20" ht="162" customHeight="1" x14ac:dyDescent="0.2">
      <c r="A84" s="46">
        <f>A83+1</f>
        <v>47</v>
      </c>
      <c r="B84" s="39" t="s">
        <v>77</v>
      </c>
      <c r="C84" s="39" t="s">
        <v>30</v>
      </c>
      <c r="D84" s="109" t="s">
        <v>93</v>
      </c>
      <c r="E84" s="40" t="s">
        <v>123</v>
      </c>
      <c r="F84" s="54">
        <v>168</v>
      </c>
      <c r="G84" s="53" t="s">
        <v>28</v>
      </c>
      <c r="H84" s="41">
        <v>350</v>
      </c>
      <c r="I84" s="54">
        <v>70</v>
      </c>
      <c r="J84" s="54" t="s">
        <v>29</v>
      </c>
      <c r="K84" s="42">
        <f>H84*10663</f>
        <v>3732050</v>
      </c>
      <c r="L84" s="59">
        <f t="shared" si="47"/>
        <v>3732050</v>
      </c>
      <c r="M84" s="42" t="s">
        <v>103</v>
      </c>
      <c r="N84" s="42">
        <f t="shared" si="7"/>
        <v>3732050</v>
      </c>
      <c r="O84" s="65" t="s">
        <v>26</v>
      </c>
      <c r="P84" s="65" t="str">
        <f t="shared" si="39"/>
        <v>-</v>
      </c>
      <c r="Q84" s="43">
        <v>43686</v>
      </c>
      <c r="R84" s="43">
        <v>43830</v>
      </c>
      <c r="S84" s="44" t="s">
        <v>41</v>
      </c>
      <c r="T84" s="54" t="s">
        <v>26</v>
      </c>
    </row>
    <row r="85" spans="1:20" ht="140.25" customHeight="1" x14ac:dyDescent="0.2">
      <c r="A85" s="18">
        <f t="shared" ref="A85:A86" si="48">A84+1</f>
        <v>48</v>
      </c>
      <c r="B85" s="2" t="s">
        <v>69</v>
      </c>
      <c r="C85" s="2" t="s">
        <v>47</v>
      </c>
      <c r="D85" s="113" t="s">
        <v>40</v>
      </c>
      <c r="E85" s="3" t="s">
        <v>76</v>
      </c>
      <c r="F85" s="113">
        <v>168</v>
      </c>
      <c r="G85" s="115" t="s">
        <v>28</v>
      </c>
      <c r="H85" s="4">
        <v>1100</v>
      </c>
      <c r="I85" s="113">
        <v>70</v>
      </c>
      <c r="J85" s="113" t="s">
        <v>29</v>
      </c>
      <c r="K85" s="26">
        <f>H85*22000</f>
        <v>24200000</v>
      </c>
      <c r="L85" s="59">
        <f t="shared" ref="L85" si="49">K85</f>
        <v>24200000</v>
      </c>
      <c r="M85" s="42" t="s">
        <v>26</v>
      </c>
      <c r="N85" s="42" t="str">
        <f t="shared" ref="N85" si="50">IF(M85="да",L85,"-")</f>
        <v>-</v>
      </c>
      <c r="O85" s="65" t="s">
        <v>26</v>
      </c>
      <c r="P85" s="65" t="str">
        <f t="shared" ref="P85" si="51">IF(O85="да",L85,"-")</f>
        <v>-</v>
      </c>
      <c r="Q85" s="5">
        <v>43694</v>
      </c>
      <c r="R85" s="5">
        <v>43861</v>
      </c>
      <c r="S85" s="113" t="s">
        <v>31</v>
      </c>
      <c r="T85" s="113" t="s">
        <v>103</v>
      </c>
    </row>
    <row r="86" spans="1:20" s="15" customFormat="1" ht="196.5" customHeight="1" x14ac:dyDescent="0.2">
      <c r="A86" s="46">
        <f t="shared" si="48"/>
        <v>49</v>
      </c>
      <c r="B86" s="39" t="s">
        <v>71</v>
      </c>
      <c r="C86" s="39" t="s">
        <v>30</v>
      </c>
      <c r="D86" s="102" t="s">
        <v>128</v>
      </c>
      <c r="E86" s="40" t="s">
        <v>129</v>
      </c>
      <c r="F86" s="102">
        <v>168</v>
      </c>
      <c r="G86" s="100" t="s">
        <v>28</v>
      </c>
      <c r="H86" s="41">
        <v>500</v>
      </c>
      <c r="I86" s="102">
        <v>70</v>
      </c>
      <c r="J86" s="102" t="s">
        <v>45</v>
      </c>
      <c r="K86" s="42">
        <f>H86*8500</f>
        <v>4250000</v>
      </c>
      <c r="L86" s="59">
        <f t="shared" si="47"/>
        <v>4250000</v>
      </c>
      <c r="M86" s="42" t="s">
        <v>103</v>
      </c>
      <c r="N86" s="42">
        <f t="shared" si="7"/>
        <v>4250000</v>
      </c>
      <c r="O86" s="65" t="s">
        <v>26</v>
      </c>
      <c r="P86" s="65" t="str">
        <f t="shared" si="39"/>
        <v>-</v>
      </c>
      <c r="Q86" s="43">
        <v>43718</v>
      </c>
      <c r="R86" s="43">
        <v>43799</v>
      </c>
      <c r="S86" s="102" t="s">
        <v>31</v>
      </c>
      <c r="T86" s="102" t="s">
        <v>103</v>
      </c>
    </row>
    <row r="87" spans="1:20" s="15" customFormat="1" ht="222.75" customHeight="1" x14ac:dyDescent="0.2">
      <c r="A87" s="46">
        <f t="shared" si="46"/>
        <v>50</v>
      </c>
      <c r="B87" s="39" t="s">
        <v>71</v>
      </c>
      <c r="C87" s="39" t="s">
        <v>30</v>
      </c>
      <c r="D87" s="102" t="s">
        <v>130</v>
      </c>
      <c r="E87" s="40" t="s">
        <v>131</v>
      </c>
      <c r="F87" s="102">
        <v>168</v>
      </c>
      <c r="G87" s="100" t="s">
        <v>28</v>
      </c>
      <c r="H87" s="41">
        <v>500</v>
      </c>
      <c r="I87" s="102">
        <v>70</v>
      </c>
      <c r="J87" s="102" t="s">
        <v>45</v>
      </c>
      <c r="K87" s="48">
        <f>H87*10000</f>
        <v>5000000</v>
      </c>
      <c r="L87" s="59">
        <f t="shared" si="47"/>
        <v>5000000</v>
      </c>
      <c r="M87" s="42" t="s">
        <v>103</v>
      </c>
      <c r="N87" s="42">
        <f t="shared" si="7"/>
        <v>5000000</v>
      </c>
      <c r="O87" s="65" t="s">
        <v>26</v>
      </c>
      <c r="P87" s="65" t="str">
        <f t="shared" si="39"/>
        <v>-</v>
      </c>
      <c r="Q87" s="43">
        <v>43718</v>
      </c>
      <c r="R87" s="43">
        <v>43799</v>
      </c>
      <c r="S87" s="102" t="s">
        <v>31</v>
      </c>
      <c r="T87" s="109" t="s">
        <v>103</v>
      </c>
    </row>
    <row r="88" spans="1:20" s="15" customFormat="1" ht="222.75" customHeight="1" x14ac:dyDescent="0.2">
      <c r="A88" s="46">
        <f t="shared" si="46"/>
        <v>51</v>
      </c>
      <c r="B88" s="39" t="s">
        <v>71</v>
      </c>
      <c r="C88" s="39" t="s">
        <v>30</v>
      </c>
      <c r="D88" s="102" t="s">
        <v>132</v>
      </c>
      <c r="E88" s="40" t="s">
        <v>133</v>
      </c>
      <c r="F88" s="102">
        <v>168</v>
      </c>
      <c r="G88" s="100" t="s">
        <v>28</v>
      </c>
      <c r="H88" s="41">
        <v>500</v>
      </c>
      <c r="I88" s="102">
        <v>70</v>
      </c>
      <c r="J88" s="102" t="s">
        <v>45</v>
      </c>
      <c r="K88" s="48">
        <f>H88*11400</f>
        <v>5700000</v>
      </c>
      <c r="L88" s="59">
        <f t="shared" si="47"/>
        <v>5700000</v>
      </c>
      <c r="M88" s="42" t="s">
        <v>103</v>
      </c>
      <c r="N88" s="42">
        <f t="shared" si="7"/>
        <v>5700000</v>
      </c>
      <c r="O88" s="65" t="s">
        <v>26</v>
      </c>
      <c r="P88" s="65" t="str">
        <f t="shared" si="39"/>
        <v>-</v>
      </c>
      <c r="Q88" s="43">
        <v>43718</v>
      </c>
      <c r="R88" s="43">
        <v>43799</v>
      </c>
      <c r="S88" s="109" t="s">
        <v>31</v>
      </c>
      <c r="T88" s="109" t="s">
        <v>103</v>
      </c>
    </row>
    <row r="89" spans="1:20" ht="30.75" customHeight="1" x14ac:dyDescent="0.2">
      <c r="A89" s="159" t="s">
        <v>101</v>
      </c>
      <c r="B89" s="159"/>
      <c r="C89" s="159"/>
      <c r="D89" s="159"/>
      <c r="E89" s="159"/>
      <c r="F89" s="159"/>
      <c r="G89" s="159"/>
      <c r="H89" s="159"/>
      <c r="I89" s="159"/>
      <c r="J89" s="159"/>
      <c r="K89" s="159"/>
      <c r="L89" s="159"/>
      <c r="M89" s="159"/>
      <c r="N89" s="159"/>
      <c r="O89" s="159"/>
      <c r="P89" s="159"/>
      <c r="Q89" s="159"/>
      <c r="R89" s="159"/>
      <c r="S89" s="159"/>
      <c r="T89" s="159"/>
    </row>
    <row r="90" spans="1:20" ht="261" customHeight="1" x14ac:dyDescent="0.2">
      <c r="A90" s="67">
        <f>A88+1</f>
        <v>52</v>
      </c>
      <c r="B90" s="68" t="s">
        <v>51</v>
      </c>
      <c r="C90" s="68" t="s">
        <v>52</v>
      </c>
      <c r="D90" s="69" t="s">
        <v>72</v>
      </c>
      <c r="E90" s="70" t="s">
        <v>134</v>
      </c>
      <c r="F90" s="69">
        <v>383</v>
      </c>
      <c r="G90" s="68" t="s">
        <v>34</v>
      </c>
      <c r="H90" s="71">
        <v>60000000</v>
      </c>
      <c r="I90" s="68">
        <v>70401</v>
      </c>
      <c r="J90" s="69" t="s">
        <v>24</v>
      </c>
      <c r="K90" s="65">
        <f>H90*0.115</f>
        <v>6900000</v>
      </c>
      <c r="L90" s="59">
        <f>K90*2/12</f>
        <v>1150000</v>
      </c>
      <c r="M90" s="42" t="s">
        <v>26</v>
      </c>
      <c r="N90" s="42" t="str">
        <f t="shared" si="7"/>
        <v>-</v>
      </c>
      <c r="O90" s="65" t="s">
        <v>103</v>
      </c>
      <c r="P90" s="65">
        <f t="shared" ref="P90:P104" si="52">IF(O90="да",L90,"-")</f>
        <v>1150000</v>
      </c>
      <c r="Q90" s="72">
        <v>43739</v>
      </c>
      <c r="R90" s="72">
        <v>44165</v>
      </c>
      <c r="S90" s="69" t="s">
        <v>135</v>
      </c>
      <c r="T90" s="69" t="s">
        <v>26</v>
      </c>
    </row>
    <row r="91" spans="1:20" ht="132.75" customHeight="1" x14ac:dyDescent="0.2">
      <c r="A91" s="13">
        <f>A90+1</f>
        <v>53</v>
      </c>
      <c r="B91" s="2" t="s">
        <v>69</v>
      </c>
      <c r="C91" s="2" t="s">
        <v>47</v>
      </c>
      <c r="D91" s="99" t="s">
        <v>40</v>
      </c>
      <c r="E91" s="3" t="s">
        <v>75</v>
      </c>
      <c r="F91" s="99">
        <v>168</v>
      </c>
      <c r="G91" s="101" t="s">
        <v>28</v>
      </c>
      <c r="H91" s="4">
        <f>16*70</f>
        <v>1120</v>
      </c>
      <c r="I91" s="99">
        <v>70</v>
      </c>
      <c r="J91" s="99" t="s">
        <v>29</v>
      </c>
      <c r="K91" s="26">
        <f>H91*22000</f>
        <v>24640000</v>
      </c>
      <c r="L91" s="59">
        <f t="shared" ref="L91:L94" si="53">K91</f>
        <v>24640000</v>
      </c>
      <c r="M91" s="42" t="s">
        <v>26</v>
      </c>
      <c r="N91" s="42" t="str">
        <f t="shared" si="7"/>
        <v>-</v>
      </c>
      <c r="O91" s="65" t="s">
        <v>26</v>
      </c>
      <c r="P91" s="65" t="str">
        <f t="shared" si="52"/>
        <v>-</v>
      </c>
      <c r="Q91" s="5">
        <v>43739</v>
      </c>
      <c r="R91" s="5">
        <v>43861</v>
      </c>
      <c r="S91" s="99" t="s">
        <v>31</v>
      </c>
      <c r="T91" s="99" t="s">
        <v>103</v>
      </c>
    </row>
    <row r="92" spans="1:20" ht="213.75" customHeight="1" x14ac:dyDescent="0.2">
      <c r="A92" s="49">
        <f>A91+1</f>
        <v>54</v>
      </c>
      <c r="B92" s="39" t="s">
        <v>71</v>
      </c>
      <c r="C92" s="39" t="s">
        <v>30</v>
      </c>
      <c r="D92" s="109" t="s">
        <v>128</v>
      </c>
      <c r="E92" s="40" t="s">
        <v>129</v>
      </c>
      <c r="F92" s="109">
        <v>168</v>
      </c>
      <c r="G92" s="110" t="s">
        <v>28</v>
      </c>
      <c r="H92" s="41">
        <v>1000</v>
      </c>
      <c r="I92" s="109">
        <v>70</v>
      </c>
      <c r="J92" s="109" t="s">
        <v>45</v>
      </c>
      <c r="K92" s="42">
        <f>H92*9000</f>
        <v>9000000</v>
      </c>
      <c r="L92" s="59">
        <f t="shared" si="53"/>
        <v>9000000</v>
      </c>
      <c r="M92" s="42" t="s">
        <v>103</v>
      </c>
      <c r="N92" s="42">
        <f t="shared" ref="N92:N94" si="54">IF(M92="да",L92,"-")</f>
        <v>9000000</v>
      </c>
      <c r="O92" s="65" t="s">
        <v>26</v>
      </c>
      <c r="P92" s="65" t="str">
        <f t="shared" si="52"/>
        <v>-</v>
      </c>
      <c r="Q92" s="43">
        <v>43779</v>
      </c>
      <c r="R92" s="43">
        <v>43830</v>
      </c>
      <c r="S92" s="109" t="s">
        <v>31</v>
      </c>
      <c r="T92" s="109" t="s">
        <v>103</v>
      </c>
    </row>
    <row r="93" spans="1:20" ht="218.25" customHeight="1" x14ac:dyDescent="0.2">
      <c r="A93" s="49">
        <f t="shared" ref="A93:A95" si="55">A92+1</f>
        <v>55</v>
      </c>
      <c r="B93" s="39" t="s">
        <v>71</v>
      </c>
      <c r="C93" s="39" t="s">
        <v>30</v>
      </c>
      <c r="D93" s="109" t="s">
        <v>130</v>
      </c>
      <c r="E93" s="40" t="s">
        <v>131</v>
      </c>
      <c r="F93" s="109">
        <v>168</v>
      </c>
      <c r="G93" s="110" t="s">
        <v>28</v>
      </c>
      <c r="H93" s="41">
        <v>1000</v>
      </c>
      <c r="I93" s="109">
        <v>70</v>
      </c>
      <c r="J93" s="109" t="s">
        <v>45</v>
      </c>
      <c r="K93" s="48">
        <f>H93*11000</f>
        <v>11000000</v>
      </c>
      <c r="L93" s="59">
        <f t="shared" si="53"/>
        <v>11000000</v>
      </c>
      <c r="M93" s="42" t="s">
        <v>103</v>
      </c>
      <c r="N93" s="42">
        <f t="shared" si="54"/>
        <v>11000000</v>
      </c>
      <c r="O93" s="65" t="s">
        <v>26</v>
      </c>
      <c r="P93" s="65" t="str">
        <f t="shared" si="52"/>
        <v>-</v>
      </c>
      <c r="Q93" s="43">
        <v>43779</v>
      </c>
      <c r="R93" s="43">
        <v>43830</v>
      </c>
      <c r="S93" s="109" t="s">
        <v>31</v>
      </c>
      <c r="T93" s="109" t="s">
        <v>103</v>
      </c>
    </row>
    <row r="94" spans="1:20" ht="261" customHeight="1" x14ac:dyDescent="0.2">
      <c r="A94" s="49">
        <f t="shared" si="55"/>
        <v>56</v>
      </c>
      <c r="B94" s="39" t="s">
        <v>71</v>
      </c>
      <c r="C94" s="39" t="s">
        <v>30</v>
      </c>
      <c r="D94" s="109" t="s">
        <v>132</v>
      </c>
      <c r="E94" s="40" t="s">
        <v>133</v>
      </c>
      <c r="F94" s="109">
        <v>168</v>
      </c>
      <c r="G94" s="110" t="s">
        <v>28</v>
      </c>
      <c r="H94" s="41">
        <v>1000</v>
      </c>
      <c r="I94" s="109">
        <v>70</v>
      </c>
      <c r="J94" s="109" t="s">
        <v>45</v>
      </c>
      <c r="K94" s="48">
        <f>H94*12000</f>
        <v>12000000</v>
      </c>
      <c r="L94" s="59">
        <f t="shared" si="53"/>
        <v>12000000</v>
      </c>
      <c r="M94" s="42" t="s">
        <v>103</v>
      </c>
      <c r="N94" s="42">
        <f t="shared" si="54"/>
        <v>12000000</v>
      </c>
      <c r="O94" s="65" t="s">
        <v>26</v>
      </c>
      <c r="P94" s="65" t="str">
        <f t="shared" si="52"/>
        <v>-</v>
      </c>
      <c r="Q94" s="43">
        <v>43779</v>
      </c>
      <c r="R94" s="43">
        <v>43830</v>
      </c>
      <c r="S94" s="109" t="s">
        <v>31</v>
      </c>
      <c r="T94" s="109" t="s">
        <v>103</v>
      </c>
    </row>
    <row r="95" spans="1:20" ht="150.75" customHeight="1" x14ac:dyDescent="0.2">
      <c r="A95" s="49">
        <f t="shared" si="55"/>
        <v>57</v>
      </c>
      <c r="B95" s="39" t="s">
        <v>77</v>
      </c>
      <c r="C95" s="39" t="s">
        <v>30</v>
      </c>
      <c r="D95" s="109" t="s">
        <v>142</v>
      </c>
      <c r="E95" s="40" t="s">
        <v>123</v>
      </c>
      <c r="F95" s="54">
        <v>168</v>
      </c>
      <c r="G95" s="53" t="s">
        <v>28</v>
      </c>
      <c r="H95" s="41">
        <v>500</v>
      </c>
      <c r="I95" s="54">
        <v>70</v>
      </c>
      <c r="J95" s="54" t="s">
        <v>29</v>
      </c>
      <c r="K95" s="42">
        <f>H95*10663</f>
        <v>5331500</v>
      </c>
      <c r="L95" s="59">
        <f t="shared" ref="L95:L101" si="56">K95</f>
        <v>5331500</v>
      </c>
      <c r="M95" s="42" t="s">
        <v>103</v>
      </c>
      <c r="N95" s="42">
        <f t="shared" si="7"/>
        <v>5331500</v>
      </c>
      <c r="O95" s="65" t="s">
        <v>26</v>
      </c>
      <c r="P95" s="65" t="str">
        <f t="shared" si="52"/>
        <v>-</v>
      </c>
      <c r="Q95" s="43">
        <v>43779</v>
      </c>
      <c r="R95" s="43">
        <v>44196</v>
      </c>
      <c r="S95" s="44" t="s">
        <v>41</v>
      </c>
      <c r="T95" s="54" t="s">
        <v>26</v>
      </c>
    </row>
    <row r="96" spans="1:20" ht="200.25" customHeight="1" x14ac:dyDescent="0.2">
      <c r="A96" s="49">
        <f t="shared" ref="A96:A104" si="57">A95+1</f>
        <v>58</v>
      </c>
      <c r="B96" s="39" t="s">
        <v>77</v>
      </c>
      <c r="C96" s="39" t="s">
        <v>30</v>
      </c>
      <c r="D96" s="109" t="s">
        <v>142</v>
      </c>
      <c r="E96" s="40" t="s">
        <v>123</v>
      </c>
      <c r="F96" s="54">
        <v>168</v>
      </c>
      <c r="G96" s="53" t="s">
        <v>28</v>
      </c>
      <c r="H96" s="41">
        <v>500</v>
      </c>
      <c r="I96" s="54">
        <v>70</v>
      </c>
      <c r="J96" s="54" t="s">
        <v>29</v>
      </c>
      <c r="K96" s="42">
        <f t="shared" ref="K96:K98" si="58">H96*10663</f>
        <v>5331500</v>
      </c>
      <c r="L96" s="59">
        <f t="shared" si="56"/>
        <v>5331500</v>
      </c>
      <c r="M96" s="42" t="s">
        <v>103</v>
      </c>
      <c r="N96" s="42">
        <f t="shared" si="7"/>
        <v>5331500</v>
      </c>
      <c r="O96" s="65" t="s">
        <v>26</v>
      </c>
      <c r="P96" s="65" t="str">
        <f t="shared" si="52"/>
        <v>-</v>
      </c>
      <c r="Q96" s="43">
        <v>43779</v>
      </c>
      <c r="R96" s="43">
        <v>44196</v>
      </c>
      <c r="S96" s="44" t="s">
        <v>41</v>
      </c>
      <c r="T96" s="54" t="s">
        <v>26</v>
      </c>
    </row>
    <row r="97" spans="1:163" ht="180.75" customHeight="1" x14ac:dyDescent="0.2">
      <c r="A97" s="49">
        <f t="shared" si="57"/>
        <v>59</v>
      </c>
      <c r="B97" s="39" t="s">
        <v>77</v>
      </c>
      <c r="C97" s="39" t="s">
        <v>30</v>
      </c>
      <c r="D97" s="109" t="s">
        <v>142</v>
      </c>
      <c r="E97" s="40" t="s">
        <v>123</v>
      </c>
      <c r="F97" s="54">
        <v>168</v>
      </c>
      <c r="G97" s="53" t="s">
        <v>28</v>
      </c>
      <c r="H97" s="41">
        <v>500</v>
      </c>
      <c r="I97" s="54">
        <v>70</v>
      </c>
      <c r="J97" s="54" t="s">
        <v>29</v>
      </c>
      <c r="K97" s="42">
        <f t="shared" si="58"/>
        <v>5331500</v>
      </c>
      <c r="L97" s="59">
        <f t="shared" si="56"/>
        <v>5331500</v>
      </c>
      <c r="M97" s="42" t="s">
        <v>103</v>
      </c>
      <c r="N97" s="42">
        <f t="shared" si="7"/>
        <v>5331500</v>
      </c>
      <c r="O97" s="65" t="s">
        <v>26</v>
      </c>
      <c r="P97" s="65" t="str">
        <f t="shared" si="52"/>
        <v>-</v>
      </c>
      <c r="Q97" s="43">
        <v>43779</v>
      </c>
      <c r="R97" s="43">
        <v>44196</v>
      </c>
      <c r="S97" s="44" t="s">
        <v>41</v>
      </c>
      <c r="T97" s="54" t="s">
        <v>26</v>
      </c>
    </row>
    <row r="98" spans="1:163" ht="180" customHeight="1" x14ac:dyDescent="0.2">
      <c r="A98" s="49">
        <f t="shared" si="57"/>
        <v>60</v>
      </c>
      <c r="B98" s="39" t="s">
        <v>77</v>
      </c>
      <c r="C98" s="39" t="s">
        <v>30</v>
      </c>
      <c r="D98" s="109" t="s">
        <v>142</v>
      </c>
      <c r="E98" s="40" t="s">
        <v>123</v>
      </c>
      <c r="F98" s="54">
        <v>168</v>
      </c>
      <c r="G98" s="53" t="s">
        <v>28</v>
      </c>
      <c r="H98" s="41">
        <v>500</v>
      </c>
      <c r="I98" s="54">
        <v>70</v>
      </c>
      <c r="J98" s="54" t="s">
        <v>29</v>
      </c>
      <c r="K98" s="42">
        <f t="shared" si="58"/>
        <v>5331500</v>
      </c>
      <c r="L98" s="59">
        <f t="shared" si="56"/>
        <v>5331500</v>
      </c>
      <c r="M98" s="42" t="s">
        <v>103</v>
      </c>
      <c r="N98" s="42">
        <f t="shared" si="7"/>
        <v>5331500</v>
      </c>
      <c r="O98" s="65" t="s">
        <v>26</v>
      </c>
      <c r="P98" s="65" t="str">
        <f t="shared" si="52"/>
        <v>-</v>
      </c>
      <c r="Q98" s="43">
        <v>43779</v>
      </c>
      <c r="R98" s="43">
        <v>44196</v>
      </c>
      <c r="S98" s="44" t="s">
        <v>41</v>
      </c>
      <c r="T98" s="54" t="s">
        <v>26</v>
      </c>
    </row>
    <row r="99" spans="1:163" ht="149.25" customHeight="1" x14ac:dyDescent="0.2">
      <c r="A99" s="49">
        <f>A98+1</f>
        <v>61</v>
      </c>
      <c r="B99" s="39" t="s">
        <v>89</v>
      </c>
      <c r="C99" s="39" t="s">
        <v>90</v>
      </c>
      <c r="D99" s="54" t="s">
        <v>143</v>
      </c>
      <c r="E99" s="40" t="s">
        <v>91</v>
      </c>
      <c r="F99" s="54">
        <v>168</v>
      </c>
      <c r="G99" s="53" t="s">
        <v>28</v>
      </c>
      <c r="H99" s="47">
        <v>680</v>
      </c>
      <c r="I99" s="54">
        <v>70</v>
      </c>
      <c r="J99" s="54" t="s">
        <v>29</v>
      </c>
      <c r="K99" s="48">
        <f>H99*8000</f>
        <v>5440000</v>
      </c>
      <c r="L99" s="59">
        <f t="shared" si="56"/>
        <v>5440000</v>
      </c>
      <c r="M99" s="42" t="s">
        <v>103</v>
      </c>
      <c r="N99" s="42">
        <f t="shared" si="7"/>
        <v>5440000</v>
      </c>
      <c r="O99" s="65" t="s">
        <v>26</v>
      </c>
      <c r="P99" s="65" t="str">
        <f t="shared" si="52"/>
        <v>-</v>
      </c>
      <c r="Q99" s="43">
        <v>43809</v>
      </c>
      <c r="R99" s="43">
        <v>44196</v>
      </c>
      <c r="S99" s="44" t="s">
        <v>41</v>
      </c>
      <c r="T99" s="54" t="s">
        <v>26</v>
      </c>
    </row>
    <row r="100" spans="1:163" ht="183.75" customHeight="1" x14ac:dyDescent="0.2">
      <c r="A100" s="49">
        <f t="shared" si="57"/>
        <v>62</v>
      </c>
      <c r="B100" s="39" t="s">
        <v>77</v>
      </c>
      <c r="C100" s="39" t="s">
        <v>30</v>
      </c>
      <c r="D100" s="109" t="s">
        <v>142</v>
      </c>
      <c r="E100" s="40" t="s">
        <v>123</v>
      </c>
      <c r="F100" s="54">
        <v>168</v>
      </c>
      <c r="G100" s="53" t="s">
        <v>28</v>
      </c>
      <c r="H100" s="41">
        <v>500</v>
      </c>
      <c r="I100" s="54">
        <v>70</v>
      </c>
      <c r="J100" s="54" t="s">
        <v>29</v>
      </c>
      <c r="K100" s="42">
        <f t="shared" ref="K100:K101" si="59">H100*10663</f>
        <v>5331500</v>
      </c>
      <c r="L100" s="59">
        <f t="shared" si="56"/>
        <v>5331500</v>
      </c>
      <c r="M100" s="42" t="s">
        <v>103</v>
      </c>
      <c r="N100" s="42">
        <f t="shared" si="7"/>
        <v>5331500</v>
      </c>
      <c r="O100" s="65" t="s">
        <v>26</v>
      </c>
      <c r="P100" s="65" t="str">
        <f t="shared" si="52"/>
        <v>-</v>
      </c>
      <c r="Q100" s="43">
        <v>43809</v>
      </c>
      <c r="R100" s="43">
        <v>44196</v>
      </c>
      <c r="S100" s="44" t="s">
        <v>41</v>
      </c>
      <c r="T100" s="54" t="s">
        <v>26</v>
      </c>
    </row>
    <row r="101" spans="1:163" ht="183" customHeight="1" x14ac:dyDescent="0.2">
      <c r="A101" s="49">
        <f t="shared" si="57"/>
        <v>63</v>
      </c>
      <c r="B101" s="39" t="s">
        <v>77</v>
      </c>
      <c r="C101" s="39" t="s">
        <v>30</v>
      </c>
      <c r="D101" s="109" t="s">
        <v>142</v>
      </c>
      <c r="E101" s="40" t="s">
        <v>123</v>
      </c>
      <c r="F101" s="54">
        <v>168</v>
      </c>
      <c r="G101" s="53" t="s">
        <v>28</v>
      </c>
      <c r="H101" s="41">
        <v>500</v>
      </c>
      <c r="I101" s="54">
        <v>70</v>
      </c>
      <c r="J101" s="54" t="s">
        <v>29</v>
      </c>
      <c r="K101" s="42">
        <f t="shared" si="59"/>
        <v>5331500</v>
      </c>
      <c r="L101" s="59">
        <f t="shared" si="56"/>
        <v>5331500</v>
      </c>
      <c r="M101" s="42" t="s">
        <v>103</v>
      </c>
      <c r="N101" s="42">
        <f t="shared" si="7"/>
        <v>5331500</v>
      </c>
      <c r="O101" s="65" t="s">
        <v>26</v>
      </c>
      <c r="P101" s="65" t="str">
        <f t="shared" si="52"/>
        <v>-</v>
      </c>
      <c r="Q101" s="43">
        <v>43809</v>
      </c>
      <c r="R101" s="43">
        <v>44196</v>
      </c>
      <c r="S101" s="44" t="s">
        <v>41</v>
      </c>
      <c r="T101" s="54" t="s">
        <v>26</v>
      </c>
    </row>
    <row r="102" spans="1:163" ht="144.75" customHeight="1" x14ac:dyDescent="0.2">
      <c r="A102" s="13">
        <f>A101+1</f>
        <v>64</v>
      </c>
      <c r="B102" s="2" t="s">
        <v>69</v>
      </c>
      <c r="C102" s="6" t="s">
        <v>74</v>
      </c>
      <c r="D102" s="105" t="s">
        <v>113</v>
      </c>
      <c r="E102" s="3" t="s">
        <v>114</v>
      </c>
      <c r="F102" s="105">
        <v>876</v>
      </c>
      <c r="G102" s="106" t="s">
        <v>50</v>
      </c>
      <c r="H102" s="4">
        <v>1</v>
      </c>
      <c r="I102" s="105">
        <v>61</v>
      </c>
      <c r="J102" s="105" t="s">
        <v>115</v>
      </c>
      <c r="K102" s="26">
        <v>15000000</v>
      </c>
      <c r="L102" s="59">
        <v>2000000</v>
      </c>
      <c r="M102" s="42" t="s">
        <v>26</v>
      </c>
      <c r="N102" s="42" t="str">
        <f t="shared" ref="N102:N104" si="60">IF(M102="да",L102,"-")</f>
        <v>-</v>
      </c>
      <c r="O102" s="65" t="s">
        <v>26</v>
      </c>
      <c r="P102" s="65" t="str">
        <f t="shared" si="52"/>
        <v>-</v>
      </c>
      <c r="Q102" s="5">
        <v>43813</v>
      </c>
      <c r="R102" s="5">
        <v>44196</v>
      </c>
      <c r="S102" s="105" t="s">
        <v>25</v>
      </c>
      <c r="T102" s="105" t="s">
        <v>26</v>
      </c>
    </row>
    <row r="103" spans="1:163" ht="214.5" customHeight="1" x14ac:dyDescent="0.2">
      <c r="A103" s="67">
        <f>A102+1</f>
        <v>65</v>
      </c>
      <c r="B103" s="68" t="s">
        <v>73</v>
      </c>
      <c r="C103" s="68" t="s">
        <v>70</v>
      </c>
      <c r="D103" s="69" t="s">
        <v>27</v>
      </c>
      <c r="E103" s="70" t="s">
        <v>116</v>
      </c>
      <c r="F103" s="69">
        <v>168</v>
      </c>
      <c r="G103" s="68" t="s">
        <v>28</v>
      </c>
      <c r="H103" s="71">
        <v>15000</v>
      </c>
      <c r="I103" s="69">
        <v>70</v>
      </c>
      <c r="J103" s="69" t="s">
        <v>29</v>
      </c>
      <c r="K103" s="65">
        <v>850000000</v>
      </c>
      <c r="L103" s="59">
        <f>K103-850000000</f>
        <v>0</v>
      </c>
      <c r="M103" s="42" t="s">
        <v>26</v>
      </c>
      <c r="N103" s="42" t="str">
        <f t="shared" si="60"/>
        <v>-</v>
      </c>
      <c r="O103" s="65" t="s">
        <v>103</v>
      </c>
      <c r="P103" s="65">
        <f t="shared" si="52"/>
        <v>0</v>
      </c>
      <c r="Q103" s="72">
        <v>43824</v>
      </c>
      <c r="R103" s="72">
        <v>44227</v>
      </c>
      <c r="S103" s="69" t="s">
        <v>25</v>
      </c>
      <c r="T103" s="69" t="s">
        <v>26</v>
      </c>
    </row>
    <row r="104" spans="1:163" s="10" customFormat="1" ht="213.75" customHeight="1" x14ac:dyDescent="0.2">
      <c r="A104" s="13">
        <f t="shared" si="57"/>
        <v>66</v>
      </c>
      <c r="B104" s="2" t="s">
        <v>69</v>
      </c>
      <c r="C104" s="108" t="s">
        <v>49</v>
      </c>
      <c r="D104" s="107" t="s">
        <v>117</v>
      </c>
      <c r="E104" s="3" t="s">
        <v>118</v>
      </c>
      <c r="F104" s="107">
        <v>168</v>
      </c>
      <c r="G104" s="108" t="s">
        <v>28</v>
      </c>
      <c r="H104" s="4">
        <v>40000</v>
      </c>
      <c r="I104" s="107">
        <v>70</v>
      </c>
      <c r="J104" s="107" t="s">
        <v>29</v>
      </c>
      <c r="K104" s="26">
        <v>650000000</v>
      </c>
      <c r="L104" s="59">
        <f>K104-623000000</f>
        <v>27000000</v>
      </c>
      <c r="M104" s="42" t="s">
        <v>26</v>
      </c>
      <c r="N104" s="42" t="str">
        <f t="shared" si="60"/>
        <v>-</v>
      </c>
      <c r="O104" s="65" t="s">
        <v>26</v>
      </c>
      <c r="P104" s="65" t="str">
        <f t="shared" si="52"/>
        <v>-</v>
      </c>
      <c r="Q104" s="5">
        <v>43824</v>
      </c>
      <c r="R104" s="5">
        <v>44227</v>
      </c>
      <c r="S104" s="107" t="s">
        <v>25</v>
      </c>
      <c r="T104" s="107" t="s">
        <v>26</v>
      </c>
    </row>
    <row r="105" spans="1:163" s="8" customFormat="1" ht="30.75" customHeight="1" x14ac:dyDescent="0.25">
      <c r="A105" s="31" t="s">
        <v>53</v>
      </c>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row>
    <row r="106" spans="1:163" s="23" customFormat="1" ht="44.25" customHeight="1" x14ac:dyDescent="0.2">
      <c r="A106" s="156" t="s">
        <v>80</v>
      </c>
      <c r="B106" s="156"/>
      <c r="C106" s="156"/>
      <c r="D106" s="156"/>
      <c r="E106" s="156"/>
      <c r="F106" s="156"/>
      <c r="G106" s="156"/>
      <c r="H106" s="156"/>
      <c r="I106" s="156"/>
      <c r="J106" s="156"/>
      <c r="K106" s="60">
        <f>SUM(L19:L27,L29:L60,L62:L72,L74:L88,L90:L104)</f>
        <v>2096687456.3200006</v>
      </c>
      <c r="L106" s="33"/>
      <c r="M106" s="33"/>
      <c r="N106" s="33"/>
      <c r="O106" s="33"/>
      <c r="P106" s="33"/>
      <c r="Q106" s="23" t="s">
        <v>81</v>
      </c>
    </row>
    <row r="107" spans="1:163" s="23" customFormat="1" ht="56.25" customHeight="1" x14ac:dyDescent="0.25">
      <c r="A107" s="156" t="s">
        <v>82</v>
      </c>
      <c r="B107" s="156"/>
      <c r="C107" s="156"/>
      <c r="D107" s="156"/>
      <c r="E107" s="156"/>
      <c r="F107" s="156"/>
      <c r="G107" s="156"/>
      <c r="H107" s="156"/>
      <c r="I107" s="156"/>
      <c r="J107" s="156"/>
      <c r="K107" s="66">
        <f>SUM(P19:P27,P29:P60,P62:P72,P74:P88,P90:P104)</f>
        <v>866493811.49000001</v>
      </c>
      <c r="L107" s="34"/>
      <c r="M107" s="34"/>
      <c r="N107" s="34"/>
      <c r="O107" s="34"/>
      <c r="P107" s="34"/>
      <c r="Q107" s="23" t="s">
        <v>81</v>
      </c>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row>
    <row r="108" spans="1:163" s="8" customFormat="1" ht="36" customHeight="1" x14ac:dyDescent="0.25">
      <c r="A108" s="156" t="s">
        <v>83</v>
      </c>
      <c r="B108" s="156"/>
      <c r="C108" s="156"/>
      <c r="D108" s="156"/>
      <c r="E108" s="156"/>
      <c r="F108" s="156"/>
      <c r="G108" s="156"/>
      <c r="H108" s="156"/>
      <c r="I108" s="156"/>
      <c r="J108" s="156"/>
      <c r="K108" s="76">
        <f>SUM(N19:N27,N29:N60,N62:N72,N74:N88,N90:N104)</f>
        <v>278153194.40999997</v>
      </c>
      <c r="L108" s="29"/>
      <c r="M108" s="29"/>
      <c r="N108" s="29"/>
      <c r="O108" s="29"/>
      <c r="P108" s="29"/>
      <c r="Q108" s="77" t="s">
        <v>84</v>
      </c>
      <c r="R108" s="78">
        <f>K108/(K106-K107)</f>
        <v>0.22610521162986313</v>
      </c>
      <c r="S108" s="79" t="s">
        <v>85</v>
      </c>
    </row>
    <row r="109" spans="1:163" s="8" customFormat="1" ht="48" customHeight="1" x14ac:dyDescent="0.25">
      <c r="A109" s="156" t="s">
        <v>95</v>
      </c>
      <c r="B109" s="156"/>
      <c r="C109" s="156"/>
      <c r="D109" s="156"/>
      <c r="E109" s="156"/>
      <c r="F109" s="156"/>
      <c r="G109" s="156"/>
      <c r="H109" s="156"/>
      <c r="I109" s="156"/>
      <c r="J109" s="156"/>
      <c r="K109" s="29">
        <v>0</v>
      </c>
      <c r="L109" s="29"/>
      <c r="M109" s="29"/>
      <c r="N109" s="29"/>
      <c r="O109" s="29"/>
      <c r="P109" s="29"/>
      <c r="Q109" s="25" t="s">
        <v>96</v>
      </c>
      <c r="R109" s="56"/>
      <c r="S109" s="52"/>
    </row>
    <row r="110" spans="1:163" s="8" customFormat="1" ht="72" customHeight="1" x14ac:dyDescent="0.25">
      <c r="A110" s="156" t="s">
        <v>97</v>
      </c>
      <c r="B110" s="156"/>
      <c r="C110" s="156"/>
      <c r="D110" s="156"/>
      <c r="E110" s="156"/>
      <c r="F110" s="156"/>
      <c r="G110" s="156"/>
      <c r="H110" s="156"/>
      <c r="I110" s="156"/>
      <c r="J110" s="156"/>
      <c r="K110" s="29">
        <v>0</v>
      </c>
      <c r="L110" s="29"/>
      <c r="M110" s="29"/>
      <c r="N110" s="29"/>
      <c r="O110" s="29"/>
      <c r="P110" s="29"/>
      <c r="Q110" s="25" t="s">
        <v>96</v>
      </c>
      <c r="R110" s="56"/>
      <c r="S110" s="52"/>
    </row>
    <row r="111" spans="1:163" s="8" customFormat="1" ht="63.75" customHeight="1" x14ac:dyDescent="0.25">
      <c r="A111" s="156" t="s">
        <v>98</v>
      </c>
      <c r="B111" s="156"/>
      <c r="C111" s="156"/>
      <c r="D111" s="156"/>
      <c r="E111" s="156"/>
      <c r="F111" s="156"/>
      <c r="G111" s="156"/>
      <c r="H111" s="156"/>
      <c r="I111" s="156"/>
      <c r="J111" s="156"/>
      <c r="K111" s="29">
        <v>0</v>
      </c>
      <c r="L111" s="29"/>
      <c r="M111" s="29"/>
      <c r="N111" s="29"/>
      <c r="O111" s="29"/>
      <c r="P111" s="29"/>
      <c r="Q111" s="25" t="s">
        <v>96</v>
      </c>
      <c r="R111" s="56"/>
      <c r="S111" s="52"/>
    </row>
    <row r="112" spans="1:163" s="8" customFormat="1" ht="61.5" customHeight="1" x14ac:dyDescent="0.25">
      <c r="A112" s="156" t="s">
        <v>99</v>
      </c>
      <c r="B112" s="156"/>
      <c r="C112" s="156"/>
      <c r="D112" s="156"/>
      <c r="E112" s="156"/>
      <c r="F112" s="156"/>
      <c r="G112" s="156"/>
      <c r="H112" s="156"/>
      <c r="I112" s="156"/>
      <c r="J112" s="156"/>
      <c r="K112" s="29">
        <v>0</v>
      </c>
      <c r="L112" s="29"/>
      <c r="M112" s="29"/>
      <c r="N112" s="29"/>
      <c r="O112" s="29"/>
      <c r="P112" s="29"/>
      <c r="Q112" s="25" t="s">
        <v>96</v>
      </c>
      <c r="R112" s="56"/>
      <c r="S112" s="52"/>
    </row>
    <row r="113" spans="1:20" s="8" customFormat="1" ht="59.25" customHeight="1" x14ac:dyDescent="0.25">
      <c r="A113" s="178" t="s">
        <v>100</v>
      </c>
      <c r="B113" s="178"/>
      <c r="C113" s="178"/>
      <c r="D113" s="178"/>
      <c r="E113" s="178"/>
      <c r="F113" s="178"/>
      <c r="G113" s="178"/>
      <c r="H113" s="178"/>
      <c r="I113" s="178"/>
      <c r="J113" s="178"/>
      <c r="K113" s="29">
        <v>0</v>
      </c>
      <c r="L113" s="29"/>
      <c r="M113" s="29"/>
      <c r="N113" s="29"/>
      <c r="O113" s="29"/>
      <c r="P113" s="29"/>
      <c r="Q113" s="25" t="s">
        <v>96</v>
      </c>
      <c r="R113" s="24"/>
      <c r="S113" s="52"/>
    </row>
    <row r="114" spans="1:20" ht="83.25" customHeight="1" x14ac:dyDescent="0.2">
      <c r="A114" s="46">
        <f>A20</f>
        <v>75</v>
      </c>
      <c r="B114" s="185" t="s">
        <v>61</v>
      </c>
      <c r="C114" s="185" t="s">
        <v>79</v>
      </c>
      <c r="D114" s="116" t="s">
        <v>42</v>
      </c>
      <c r="E114" s="186" t="s">
        <v>62</v>
      </c>
      <c r="F114" s="186">
        <v>168</v>
      </c>
      <c r="G114" s="185" t="s">
        <v>28</v>
      </c>
      <c r="H114" s="41">
        <v>15000</v>
      </c>
      <c r="I114" s="114">
        <v>70401</v>
      </c>
      <c r="J114" s="116" t="s">
        <v>64</v>
      </c>
      <c r="K114" s="42">
        <v>23022000</v>
      </c>
      <c r="L114" s="59">
        <f>K114-17022000</f>
        <v>6000000</v>
      </c>
      <c r="M114" s="42" t="s">
        <v>103</v>
      </c>
      <c r="N114" s="42">
        <f t="shared" ref="N114:N166" si="61">IF(M114="да",L114,"-")</f>
        <v>6000000</v>
      </c>
      <c r="O114" s="65" t="s">
        <v>26</v>
      </c>
      <c r="P114" s="65" t="str">
        <f t="shared" ref="P114:P166" si="62">IF(O114="да",L114,"-")</f>
        <v>-</v>
      </c>
      <c r="Q114" s="43">
        <v>43282</v>
      </c>
      <c r="R114" s="43">
        <v>43677</v>
      </c>
      <c r="S114" s="116" t="s">
        <v>35</v>
      </c>
      <c r="T114" s="116" t="s">
        <v>26</v>
      </c>
    </row>
    <row r="115" spans="1:20" ht="90.75" customHeight="1" x14ac:dyDescent="0.2">
      <c r="A115" s="46">
        <f>A21</f>
        <v>40</v>
      </c>
      <c r="B115" s="185"/>
      <c r="C115" s="185"/>
      <c r="D115" s="116" t="s">
        <v>43</v>
      </c>
      <c r="E115" s="186"/>
      <c r="F115" s="186"/>
      <c r="G115" s="185"/>
      <c r="H115" s="41">
        <v>7000</v>
      </c>
      <c r="I115" s="114">
        <v>70238</v>
      </c>
      <c r="J115" s="116" t="s">
        <v>37</v>
      </c>
      <c r="K115" s="42">
        <v>10850000</v>
      </c>
      <c r="L115" s="59">
        <f>K115/2</f>
        <v>5425000</v>
      </c>
      <c r="M115" s="42" t="s">
        <v>103</v>
      </c>
      <c r="N115" s="42">
        <f t="shared" si="61"/>
        <v>5425000</v>
      </c>
      <c r="O115" s="65" t="s">
        <v>26</v>
      </c>
      <c r="P115" s="65" t="str">
        <f t="shared" si="62"/>
        <v>-</v>
      </c>
      <c r="Q115" s="43">
        <v>43278</v>
      </c>
      <c r="R115" s="43">
        <v>43677</v>
      </c>
      <c r="S115" s="116" t="s">
        <v>35</v>
      </c>
      <c r="T115" s="116" t="s">
        <v>26</v>
      </c>
    </row>
    <row r="116" spans="1:20" ht="82.5" customHeight="1" x14ac:dyDescent="0.2">
      <c r="A116" s="46">
        <f>A22</f>
        <v>41</v>
      </c>
      <c r="B116" s="185"/>
      <c r="C116" s="185"/>
      <c r="D116" s="116" t="s">
        <v>63</v>
      </c>
      <c r="E116" s="186"/>
      <c r="F116" s="186"/>
      <c r="G116" s="185"/>
      <c r="H116" s="41">
        <v>1000</v>
      </c>
      <c r="I116" s="114">
        <v>70226</v>
      </c>
      <c r="J116" s="116" t="s">
        <v>36</v>
      </c>
      <c r="K116" s="42">
        <v>1345200</v>
      </c>
      <c r="L116" s="59">
        <f>K116/2</f>
        <v>672600</v>
      </c>
      <c r="M116" s="42" t="s">
        <v>103</v>
      </c>
      <c r="N116" s="42">
        <f t="shared" si="61"/>
        <v>672600</v>
      </c>
      <c r="O116" s="65" t="s">
        <v>26</v>
      </c>
      <c r="P116" s="65" t="str">
        <f t="shared" si="62"/>
        <v>-</v>
      </c>
      <c r="Q116" s="43">
        <v>43278</v>
      </c>
      <c r="R116" s="43">
        <v>43677</v>
      </c>
      <c r="S116" s="116" t="s">
        <v>35</v>
      </c>
      <c r="T116" s="116" t="s">
        <v>26</v>
      </c>
    </row>
    <row r="117" spans="1:20" s="10" customFormat="1" ht="177" customHeight="1" x14ac:dyDescent="0.2">
      <c r="A117" s="38">
        <f t="shared" ref="A117:A124" si="63">A29</f>
        <v>1</v>
      </c>
      <c r="B117" s="39" t="s">
        <v>77</v>
      </c>
      <c r="C117" s="39" t="s">
        <v>30</v>
      </c>
      <c r="D117" s="116" t="s">
        <v>93</v>
      </c>
      <c r="E117" s="40" t="s">
        <v>123</v>
      </c>
      <c r="F117" s="116">
        <v>168</v>
      </c>
      <c r="G117" s="114" t="s">
        <v>28</v>
      </c>
      <c r="H117" s="41">
        <v>236</v>
      </c>
      <c r="I117" s="118">
        <v>70</v>
      </c>
      <c r="J117" s="118" t="s">
        <v>29</v>
      </c>
      <c r="K117" s="42">
        <v>2290909.16</v>
      </c>
      <c r="L117" s="59">
        <f>K117</f>
        <v>2290909.16</v>
      </c>
      <c r="M117" s="42" t="s">
        <v>103</v>
      </c>
      <c r="N117" s="42">
        <f t="shared" si="61"/>
        <v>2290909.16</v>
      </c>
      <c r="O117" s="65" t="s">
        <v>26</v>
      </c>
      <c r="P117" s="65" t="str">
        <f t="shared" si="62"/>
        <v>-</v>
      </c>
      <c r="Q117" s="43">
        <v>43507</v>
      </c>
      <c r="R117" s="43">
        <v>43830</v>
      </c>
      <c r="S117" s="44" t="s">
        <v>41</v>
      </c>
      <c r="T117" s="116" t="s">
        <v>26</v>
      </c>
    </row>
    <row r="118" spans="1:20" s="10" customFormat="1" ht="150.75" customHeight="1" x14ac:dyDescent="0.2">
      <c r="A118" s="38">
        <f t="shared" si="63"/>
        <v>2</v>
      </c>
      <c r="B118" s="39" t="s">
        <v>77</v>
      </c>
      <c r="C118" s="39" t="s">
        <v>30</v>
      </c>
      <c r="D118" s="116" t="s">
        <v>93</v>
      </c>
      <c r="E118" s="40" t="s">
        <v>123</v>
      </c>
      <c r="F118" s="116">
        <v>168</v>
      </c>
      <c r="G118" s="114" t="s">
        <v>28</v>
      </c>
      <c r="H118" s="41">
        <v>168</v>
      </c>
      <c r="I118" s="118">
        <v>70</v>
      </c>
      <c r="J118" s="118" t="s">
        <v>29</v>
      </c>
      <c r="K118" s="42">
        <v>1630909.14</v>
      </c>
      <c r="L118" s="59">
        <f>K118</f>
        <v>1630909.14</v>
      </c>
      <c r="M118" s="42" t="s">
        <v>103</v>
      </c>
      <c r="N118" s="42">
        <f t="shared" si="61"/>
        <v>1630909.14</v>
      </c>
      <c r="O118" s="65" t="s">
        <v>26</v>
      </c>
      <c r="P118" s="65" t="str">
        <f t="shared" si="62"/>
        <v>-</v>
      </c>
      <c r="Q118" s="43">
        <v>43507</v>
      </c>
      <c r="R118" s="43">
        <v>43830</v>
      </c>
      <c r="S118" s="44" t="s">
        <v>41</v>
      </c>
      <c r="T118" s="116" t="s">
        <v>26</v>
      </c>
    </row>
    <row r="119" spans="1:20" s="10" customFormat="1" ht="163.5" customHeight="1" x14ac:dyDescent="0.2">
      <c r="A119" s="38">
        <f t="shared" si="63"/>
        <v>3</v>
      </c>
      <c r="B119" s="39" t="s">
        <v>77</v>
      </c>
      <c r="C119" s="39" t="s">
        <v>30</v>
      </c>
      <c r="D119" s="116" t="s">
        <v>93</v>
      </c>
      <c r="E119" s="40" t="s">
        <v>123</v>
      </c>
      <c r="F119" s="116">
        <v>168</v>
      </c>
      <c r="G119" s="114" t="s">
        <v>28</v>
      </c>
      <c r="H119" s="41">
        <v>250</v>
      </c>
      <c r="I119" s="116">
        <v>70</v>
      </c>
      <c r="J119" s="116" t="s">
        <v>29</v>
      </c>
      <c r="K119" s="42">
        <f t="shared" ref="K119:K124" si="64">H119*10663</f>
        <v>2665750</v>
      </c>
      <c r="L119" s="59">
        <f t="shared" ref="L119:L143" si="65">K119</f>
        <v>2665750</v>
      </c>
      <c r="M119" s="42" t="s">
        <v>103</v>
      </c>
      <c r="N119" s="42">
        <f t="shared" si="61"/>
        <v>2665750</v>
      </c>
      <c r="O119" s="65" t="s">
        <v>26</v>
      </c>
      <c r="P119" s="65" t="str">
        <f t="shared" si="62"/>
        <v>-</v>
      </c>
      <c r="Q119" s="43">
        <v>43479</v>
      </c>
      <c r="R119" s="43">
        <v>43830</v>
      </c>
      <c r="S119" s="44" t="s">
        <v>41</v>
      </c>
      <c r="T119" s="116" t="s">
        <v>26</v>
      </c>
    </row>
    <row r="120" spans="1:20" s="10" customFormat="1" ht="141.75" x14ac:dyDescent="0.2">
      <c r="A120" s="38">
        <f t="shared" si="63"/>
        <v>4</v>
      </c>
      <c r="B120" s="39" t="s">
        <v>77</v>
      </c>
      <c r="C120" s="39" t="s">
        <v>30</v>
      </c>
      <c r="D120" s="116" t="s">
        <v>93</v>
      </c>
      <c r="E120" s="40" t="s">
        <v>123</v>
      </c>
      <c r="F120" s="116">
        <v>168</v>
      </c>
      <c r="G120" s="114" t="s">
        <v>28</v>
      </c>
      <c r="H120" s="41">
        <v>300</v>
      </c>
      <c r="I120" s="116">
        <v>70</v>
      </c>
      <c r="J120" s="116" t="s">
        <v>29</v>
      </c>
      <c r="K120" s="42">
        <f t="shared" si="64"/>
        <v>3198900</v>
      </c>
      <c r="L120" s="59">
        <f t="shared" si="65"/>
        <v>3198900</v>
      </c>
      <c r="M120" s="42" t="s">
        <v>103</v>
      </c>
      <c r="N120" s="42">
        <f t="shared" si="61"/>
        <v>3198900</v>
      </c>
      <c r="O120" s="65" t="s">
        <v>26</v>
      </c>
      <c r="P120" s="65" t="str">
        <f t="shared" si="62"/>
        <v>-</v>
      </c>
      <c r="Q120" s="43">
        <v>43479</v>
      </c>
      <c r="R120" s="43">
        <v>43830</v>
      </c>
      <c r="S120" s="44" t="s">
        <v>41</v>
      </c>
      <c r="T120" s="116" t="s">
        <v>26</v>
      </c>
    </row>
    <row r="121" spans="1:20" s="10" customFormat="1" ht="151.5" customHeight="1" x14ac:dyDescent="0.2">
      <c r="A121" s="38">
        <f t="shared" si="63"/>
        <v>5</v>
      </c>
      <c r="B121" s="39" t="s">
        <v>77</v>
      </c>
      <c r="C121" s="39" t="s">
        <v>30</v>
      </c>
      <c r="D121" s="116" t="s">
        <v>93</v>
      </c>
      <c r="E121" s="40" t="s">
        <v>123</v>
      </c>
      <c r="F121" s="116">
        <v>168</v>
      </c>
      <c r="G121" s="114" t="s">
        <v>28</v>
      </c>
      <c r="H121" s="41">
        <v>519</v>
      </c>
      <c r="I121" s="118">
        <v>70</v>
      </c>
      <c r="J121" s="118" t="s">
        <v>29</v>
      </c>
      <c r="K121" s="42">
        <v>5543000</v>
      </c>
      <c r="L121" s="59">
        <f t="shared" si="65"/>
        <v>5543000</v>
      </c>
      <c r="M121" s="42" t="s">
        <v>103</v>
      </c>
      <c r="N121" s="42">
        <f t="shared" si="61"/>
        <v>5543000</v>
      </c>
      <c r="O121" s="65" t="s">
        <v>26</v>
      </c>
      <c r="P121" s="65" t="str">
        <f t="shared" si="62"/>
        <v>-</v>
      </c>
      <c r="Q121" s="43">
        <v>43507</v>
      </c>
      <c r="R121" s="43">
        <v>43830</v>
      </c>
      <c r="S121" s="44" t="s">
        <v>41</v>
      </c>
      <c r="T121" s="116" t="s">
        <v>26</v>
      </c>
    </row>
    <row r="122" spans="1:20" s="10" customFormat="1" ht="150" customHeight="1" x14ac:dyDescent="0.2">
      <c r="A122" s="38">
        <f t="shared" si="63"/>
        <v>6</v>
      </c>
      <c r="B122" s="39" t="s">
        <v>77</v>
      </c>
      <c r="C122" s="39" t="s">
        <v>30</v>
      </c>
      <c r="D122" s="116" t="s">
        <v>93</v>
      </c>
      <c r="E122" s="40" t="s">
        <v>123</v>
      </c>
      <c r="F122" s="116">
        <v>168</v>
      </c>
      <c r="G122" s="114" t="s">
        <v>28</v>
      </c>
      <c r="H122" s="41">
        <v>400</v>
      </c>
      <c r="I122" s="116">
        <v>70</v>
      </c>
      <c r="J122" s="116" t="s">
        <v>29</v>
      </c>
      <c r="K122" s="42">
        <f t="shared" si="64"/>
        <v>4265200</v>
      </c>
      <c r="L122" s="59">
        <f t="shared" si="65"/>
        <v>4265200</v>
      </c>
      <c r="M122" s="42" t="s">
        <v>103</v>
      </c>
      <c r="N122" s="42">
        <f t="shared" si="61"/>
        <v>4265200</v>
      </c>
      <c r="O122" s="65" t="s">
        <v>26</v>
      </c>
      <c r="P122" s="65" t="str">
        <f t="shared" si="62"/>
        <v>-</v>
      </c>
      <c r="Q122" s="43">
        <v>43479</v>
      </c>
      <c r="R122" s="43">
        <v>43830</v>
      </c>
      <c r="S122" s="44" t="s">
        <v>41</v>
      </c>
      <c r="T122" s="116" t="s">
        <v>26</v>
      </c>
    </row>
    <row r="123" spans="1:20" s="10" customFormat="1" ht="141.75" x14ac:dyDescent="0.2">
      <c r="A123" s="38">
        <f t="shared" si="63"/>
        <v>7</v>
      </c>
      <c r="B123" s="39" t="s">
        <v>77</v>
      </c>
      <c r="C123" s="39" t="s">
        <v>30</v>
      </c>
      <c r="D123" s="116" t="s">
        <v>93</v>
      </c>
      <c r="E123" s="40" t="s">
        <v>123</v>
      </c>
      <c r="F123" s="116">
        <v>168</v>
      </c>
      <c r="G123" s="114" t="s">
        <v>28</v>
      </c>
      <c r="H123" s="41">
        <v>504</v>
      </c>
      <c r="I123" s="118">
        <v>70</v>
      </c>
      <c r="J123" s="118" t="s">
        <v>29</v>
      </c>
      <c r="K123" s="42">
        <v>4892727.42</v>
      </c>
      <c r="L123" s="59">
        <f t="shared" si="65"/>
        <v>4892727.42</v>
      </c>
      <c r="M123" s="42" t="s">
        <v>103</v>
      </c>
      <c r="N123" s="42">
        <f t="shared" si="61"/>
        <v>4892727.42</v>
      </c>
      <c r="O123" s="65" t="s">
        <v>26</v>
      </c>
      <c r="P123" s="65" t="str">
        <f t="shared" si="62"/>
        <v>-</v>
      </c>
      <c r="Q123" s="43">
        <v>43507</v>
      </c>
      <c r="R123" s="43">
        <v>43830</v>
      </c>
      <c r="S123" s="44" t="s">
        <v>41</v>
      </c>
      <c r="T123" s="116" t="s">
        <v>26</v>
      </c>
    </row>
    <row r="124" spans="1:20" s="87" customFormat="1" ht="150.75" customHeight="1" x14ac:dyDescent="0.2">
      <c r="A124" s="38">
        <f t="shared" si="63"/>
        <v>8</v>
      </c>
      <c r="B124" s="39" t="s">
        <v>77</v>
      </c>
      <c r="C124" s="39" t="s">
        <v>30</v>
      </c>
      <c r="D124" s="116" t="s">
        <v>93</v>
      </c>
      <c r="E124" s="40" t="s">
        <v>123</v>
      </c>
      <c r="F124" s="116">
        <v>168</v>
      </c>
      <c r="G124" s="114" t="s">
        <v>28</v>
      </c>
      <c r="H124" s="41">
        <v>300</v>
      </c>
      <c r="I124" s="116">
        <v>70</v>
      </c>
      <c r="J124" s="86" t="s">
        <v>29</v>
      </c>
      <c r="K124" s="42">
        <f t="shared" si="64"/>
        <v>3198900</v>
      </c>
      <c r="L124" s="59">
        <f t="shared" si="65"/>
        <v>3198900</v>
      </c>
      <c r="M124" s="42" t="s">
        <v>103</v>
      </c>
      <c r="N124" s="42">
        <f t="shared" si="61"/>
        <v>3198900</v>
      </c>
      <c r="O124" s="65" t="s">
        <v>26</v>
      </c>
      <c r="P124" s="65" t="str">
        <f t="shared" si="62"/>
        <v>-</v>
      </c>
      <c r="Q124" s="43">
        <v>43479</v>
      </c>
      <c r="R124" s="43">
        <v>43830</v>
      </c>
      <c r="S124" s="44" t="s">
        <v>41</v>
      </c>
      <c r="T124" s="116" t="s">
        <v>26</v>
      </c>
    </row>
    <row r="125" spans="1:20" s="10" customFormat="1" ht="162.75" customHeight="1" x14ac:dyDescent="0.2">
      <c r="A125" s="38">
        <f t="shared" ref="A125:A131" si="66">A42</f>
        <v>14</v>
      </c>
      <c r="B125" s="39" t="s">
        <v>77</v>
      </c>
      <c r="C125" s="39" t="s">
        <v>30</v>
      </c>
      <c r="D125" s="116" t="s">
        <v>93</v>
      </c>
      <c r="E125" s="40" t="s">
        <v>123</v>
      </c>
      <c r="F125" s="116">
        <v>168</v>
      </c>
      <c r="G125" s="114" t="s">
        <v>28</v>
      </c>
      <c r="H125" s="41">
        <v>306</v>
      </c>
      <c r="I125" s="118">
        <v>70</v>
      </c>
      <c r="J125" s="86" t="s">
        <v>29</v>
      </c>
      <c r="K125" s="42">
        <v>3268000</v>
      </c>
      <c r="L125" s="59">
        <f t="shared" si="65"/>
        <v>3268000</v>
      </c>
      <c r="M125" s="42" t="s">
        <v>103</v>
      </c>
      <c r="N125" s="42">
        <f t="shared" si="61"/>
        <v>3268000</v>
      </c>
      <c r="O125" s="65" t="s">
        <v>26</v>
      </c>
      <c r="P125" s="65" t="str">
        <f t="shared" si="62"/>
        <v>-</v>
      </c>
      <c r="Q125" s="43">
        <v>43497</v>
      </c>
      <c r="R125" s="43">
        <v>43830</v>
      </c>
      <c r="S125" s="89" t="s">
        <v>41</v>
      </c>
      <c r="T125" s="90" t="s">
        <v>26</v>
      </c>
    </row>
    <row r="126" spans="1:20" s="10" customFormat="1" ht="160.5" customHeight="1" x14ac:dyDescent="0.2">
      <c r="A126" s="38">
        <f t="shared" si="66"/>
        <v>15</v>
      </c>
      <c r="B126" s="39" t="s">
        <v>77</v>
      </c>
      <c r="C126" s="39" t="s">
        <v>30</v>
      </c>
      <c r="D126" s="116" t="s">
        <v>93</v>
      </c>
      <c r="E126" s="40" t="s">
        <v>123</v>
      </c>
      <c r="F126" s="116">
        <v>168</v>
      </c>
      <c r="G126" s="114" t="s">
        <v>28</v>
      </c>
      <c r="H126" s="41">
        <v>200</v>
      </c>
      <c r="I126" s="116">
        <v>70</v>
      </c>
      <c r="J126" s="116" t="s">
        <v>29</v>
      </c>
      <c r="K126" s="42">
        <f t="shared" ref="K126:K131" si="67">H126*10663</f>
        <v>2132600</v>
      </c>
      <c r="L126" s="59">
        <f t="shared" si="65"/>
        <v>2132600</v>
      </c>
      <c r="M126" s="42" t="s">
        <v>103</v>
      </c>
      <c r="N126" s="42">
        <f t="shared" si="61"/>
        <v>2132600</v>
      </c>
      <c r="O126" s="65" t="s">
        <v>26</v>
      </c>
      <c r="P126" s="65" t="str">
        <f t="shared" si="62"/>
        <v>-</v>
      </c>
      <c r="Q126" s="43">
        <v>43497</v>
      </c>
      <c r="R126" s="43">
        <v>43830</v>
      </c>
      <c r="S126" s="89" t="s">
        <v>41</v>
      </c>
      <c r="T126" s="90" t="s">
        <v>26</v>
      </c>
    </row>
    <row r="127" spans="1:20" s="10" customFormat="1" ht="159" customHeight="1" x14ac:dyDescent="0.2">
      <c r="A127" s="38">
        <f t="shared" si="66"/>
        <v>16</v>
      </c>
      <c r="B127" s="39" t="s">
        <v>77</v>
      </c>
      <c r="C127" s="39" t="s">
        <v>30</v>
      </c>
      <c r="D127" s="127" t="s">
        <v>93</v>
      </c>
      <c r="E127" s="40" t="s">
        <v>123</v>
      </c>
      <c r="F127" s="127">
        <v>168</v>
      </c>
      <c r="G127" s="126" t="s">
        <v>28</v>
      </c>
      <c r="H127" s="41">
        <v>168</v>
      </c>
      <c r="I127" s="127">
        <v>70</v>
      </c>
      <c r="J127" s="127" t="s">
        <v>29</v>
      </c>
      <c r="K127" s="42">
        <v>1630909.14</v>
      </c>
      <c r="L127" s="59">
        <f t="shared" si="65"/>
        <v>1630909.14</v>
      </c>
      <c r="M127" s="42" t="s">
        <v>103</v>
      </c>
      <c r="N127" s="42">
        <f t="shared" si="61"/>
        <v>1630909.14</v>
      </c>
      <c r="O127" s="65" t="s">
        <v>26</v>
      </c>
      <c r="P127" s="65" t="str">
        <f t="shared" si="62"/>
        <v>-</v>
      </c>
      <c r="Q127" s="43">
        <v>43536</v>
      </c>
      <c r="R127" s="43">
        <v>43830</v>
      </c>
      <c r="S127" s="44" t="s">
        <v>41</v>
      </c>
      <c r="T127" s="127" t="s">
        <v>26</v>
      </c>
    </row>
    <row r="128" spans="1:20" s="10" customFormat="1" ht="157.5" customHeight="1" x14ac:dyDescent="0.2">
      <c r="A128" s="38">
        <f t="shared" si="66"/>
        <v>17</v>
      </c>
      <c r="B128" s="39" t="s">
        <v>77</v>
      </c>
      <c r="C128" s="39" t="s">
        <v>30</v>
      </c>
      <c r="D128" s="116" t="s">
        <v>93</v>
      </c>
      <c r="E128" s="40" t="s">
        <v>123</v>
      </c>
      <c r="F128" s="116">
        <v>168</v>
      </c>
      <c r="G128" s="114" t="s">
        <v>28</v>
      </c>
      <c r="H128" s="41">
        <v>300</v>
      </c>
      <c r="I128" s="116">
        <v>70</v>
      </c>
      <c r="J128" s="116" t="s">
        <v>29</v>
      </c>
      <c r="K128" s="42">
        <f t="shared" si="67"/>
        <v>3198900</v>
      </c>
      <c r="L128" s="59">
        <f t="shared" si="65"/>
        <v>3198900</v>
      </c>
      <c r="M128" s="42" t="s">
        <v>103</v>
      </c>
      <c r="N128" s="42">
        <f t="shared" si="61"/>
        <v>3198900</v>
      </c>
      <c r="O128" s="65" t="s">
        <v>26</v>
      </c>
      <c r="P128" s="65" t="str">
        <f t="shared" si="62"/>
        <v>-</v>
      </c>
      <c r="Q128" s="43">
        <v>43497</v>
      </c>
      <c r="R128" s="43">
        <v>43830</v>
      </c>
      <c r="S128" s="44" t="s">
        <v>41</v>
      </c>
      <c r="T128" s="116" t="s">
        <v>26</v>
      </c>
    </row>
    <row r="129" spans="1:21" s="10" customFormat="1" ht="153.75" customHeight="1" x14ac:dyDescent="0.2">
      <c r="A129" s="38">
        <f t="shared" si="66"/>
        <v>18</v>
      </c>
      <c r="B129" s="39" t="s">
        <v>77</v>
      </c>
      <c r="C129" s="39" t="s">
        <v>30</v>
      </c>
      <c r="D129" s="127" t="s">
        <v>93</v>
      </c>
      <c r="E129" s="40" t="s">
        <v>123</v>
      </c>
      <c r="F129" s="127">
        <v>168</v>
      </c>
      <c r="G129" s="126" t="s">
        <v>28</v>
      </c>
      <c r="H129" s="41">
        <v>840</v>
      </c>
      <c r="I129" s="127">
        <v>70</v>
      </c>
      <c r="J129" s="127" t="s">
        <v>29</v>
      </c>
      <c r="K129" s="42">
        <v>8155454.79</v>
      </c>
      <c r="L129" s="59">
        <f t="shared" si="65"/>
        <v>8155454.79</v>
      </c>
      <c r="M129" s="42" t="s">
        <v>103</v>
      </c>
      <c r="N129" s="42">
        <f t="shared" si="61"/>
        <v>8155454.79</v>
      </c>
      <c r="O129" s="65" t="s">
        <v>26</v>
      </c>
      <c r="P129" s="65" t="str">
        <f t="shared" si="62"/>
        <v>-</v>
      </c>
      <c r="Q129" s="43">
        <v>43536</v>
      </c>
      <c r="R129" s="43">
        <v>43830</v>
      </c>
      <c r="S129" s="44" t="s">
        <v>41</v>
      </c>
      <c r="T129" s="127" t="s">
        <v>26</v>
      </c>
    </row>
    <row r="130" spans="1:21" s="10" customFormat="1" ht="182.25" customHeight="1" x14ac:dyDescent="0.2">
      <c r="A130" s="38">
        <f t="shared" si="66"/>
        <v>19</v>
      </c>
      <c r="B130" s="39" t="s">
        <v>77</v>
      </c>
      <c r="C130" s="39" t="s">
        <v>30</v>
      </c>
      <c r="D130" s="116" t="s">
        <v>93</v>
      </c>
      <c r="E130" s="40" t="s">
        <v>123</v>
      </c>
      <c r="F130" s="116">
        <v>168</v>
      </c>
      <c r="G130" s="114" t="s">
        <v>28</v>
      </c>
      <c r="H130" s="41">
        <v>650</v>
      </c>
      <c r="I130" s="116">
        <v>70</v>
      </c>
      <c r="J130" s="116" t="s">
        <v>29</v>
      </c>
      <c r="K130" s="42">
        <f t="shared" si="67"/>
        <v>6930950</v>
      </c>
      <c r="L130" s="59">
        <f t="shared" si="65"/>
        <v>6930950</v>
      </c>
      <c r="M130" s="42" t="s">
        <v>103</v>
      </c>
      <c r="N130" s="42">
        <f t="shared" si="61"/>
        <v>6930950</v>
      </c>
      <c r="O130" s="65" t="s">
        <v>26</v>
      </c>
      <c r="P130" s="65" t="str">
        <f t="shared" si="62"/>
        <v>-</v>
      </c>
      <c r="Q130" s="43">
        <v>43497</v>
      </c>
      <c r="R130" s="43">
        <v>43830</v>
      </c>
      <c r="S130" s="44" t="s">
        <v>41</v>
      </c>
      <c r="T130" s="116" t="s">
        <v>26</v>
      </c>
    </row>
    <row r="131" spans="1:21" s="10" customFormat="1" ht="183" customHeight="1" x14ac:dyDescent="0.2">
      <c r="A131" s="38">
        <f t="shared" si="66"/>
        <v>20</v>
      </c>
      <c r="B131" s="39" t="s">
        <v>77</v>
      </c>
      <c r="C131" s="39" t="s">
        <v>30</v>
      </c>
      <c r="D131" s="116" t="s">
        <v>93</v>
      </c>
      <c r="E131" s="40" t="s">
        <v>123</v>
      </c>
      <c r="F131" s="116">
        <v>168</v>
      </c>
      <c r="G131" s="114" t="s">
        <v>28</v>
      </c>
      <c r="H131" s="41">
        <v>250</v>
      </c>
      <c r="I131" s="116">
        <v>70</v>
      </c>
      <c r="J131" s="116" t="s">
        <v>29</v>
      </c>
      <c r="K131" s="42">
        <f t="shared" si="67"/>
        <v>2665750</v>
      </c>
      <c r="L131" s="59">
        <f t="shared" si="65"/>
        <v>2665750</v>
      </c>
      <c r="M131" s="42" t="s">
        <v>103</v>
      </c>
      <c r="N131" s="42">
        <f t="shared" si="61"/>
        <v>2665750</v>
      </c>
      <c r="O131" s="65" t="s">
        <v>26</v>
      </c>
      <c r="P131" s="65" t="str">
        <f t="shared" si="62"/>
        <v>-</v>
      </c>
      <c r="Q131" s="43">
        <v>43497</v>
      </c>
      <c r="R131" s="43">
        <v>43830</v>
      </c>
      <c r="S131" s="44" t="s">
        <v>41</v>
      </c>
      <c r="T131" s="116" t="s">
        <v>26</v>
      </c>
    </row>
    <row r="132" spans="1:21" s="10" customFormat="1" ht="183.75" customHeight="1" x14ac:dyDescent="0.2">
      <c r="A132" s="38">
        <f>A50</f>
        <v>21</v>
      </c>
      <c r="B132" s="39" t="s">
        <v>77</v>
      </c>
      <c r="C132" s="39" t="s">
        <v>30</v>
      </c>
      <c r="D132" s="127" t="s">
        <v>93</v>
      </c>
      <c r="E132" s="40" t="s">
        <v>123</v>
      </c>
      <c r="F132" s="127">
        <v>168</v>
      </c>
      <c r="G132" s="126" t="s">
        <v>28</v>
      </c>
      <c r="H132" s="41">
        <v>1602</v>
      </c>
      <c r="I132" s="127">
        <v>70</v>
      </c>
      <c r="J132" s="127" t="s">
        <v>29</v>
      </c>
      <c r="K132" s="42">
        <v>17109000</v>
      </c>
      <c r="L132" s="59">
        <f t="shared" si="65"/>
        <v>17109000</v>
      </c>
      <c r="M132" s="42" t="s">
        <v>103</v>
      </c>
      <c r="N132" s="42">
        <f t="shared" si="61"/>
        <v>17109000</v>
      </c>
      <c r="O132" s="65" t="s">
        <v>26</v>
      </c>
      <c r="P132" s="65" t="str">
        <f t="shared" si="62"/>
        <v>-</v>
      </c>
      <c r="Q132" s="43">
        <v>43533</v>
      </c>
      <c r="R132" s="43">
        <v>43830</v>
      </c>
      <c r="S132" s="44" t="s">
        <v>41</v>
      </c>
      <c r="T132" s="127" t="s">
        <v>26</v>
      </c>
    </row>
    <row r="133" spans="1:21" s="10" customFormat="1" ht="216" customHeight="1" x14ac:dyDescent="0.2">
      <c r="A133" s="38">
        <f>A132+1</f>
        <v>22</v>
      </c>
      <c r="B133" s="39" t="s">
        <v>71</v>
      </c>
      <c r="C133" s="39" t="s">
        <v>30</v>
      </c>
      <c r="D133" s="123" t="s">
        <v>124</v>
      </c>
      <c r="E133" s="40" t="s">
        <v>126</v>
      </c>
      <c r="F133" s="123">
        <v>168</v>
      </c>
      <c r="G133" s="122" t="s">
        <v>28</v>
      </c>
      <c r="H133" s="47">
        <v>135.04</v>
      </c>
      <c r="I133" s="123">
        <v>70</v>
      </c>
      <c r="J133" s="123" t="s">
        <v>45</v>
      </c>
      <c r="K133" s="48">
        <f>H133*13800</f>
        <v>1863552</v>
      </c>
      <c r="L133" s="59">
        <f t="shared" si="65"/>
        <v>1863552</v>
      </c>
      <c r="M133" s="42" t="s">
        <v>103</v>
      </c>
      <c r="N133" s="42">
        <f t="shared" si="61"/>
        <v>1863552</v>
      </c>
      <c r="O133" s="65" t="s">
        <v>26</v>
      </c>
      <c r="P133" s="65" t="str">
        <f t="shared" si="62"/>
        <v>-</v>
      </c>
      <c r="Q133" s="43">
        <v>43523</v>
      </c>
      <c r="R133" s="43">
        <v>43585</v>
      </c>
      <c r="S133" s="123" t="s">
        <v>25</v>
      </c>
      <c r="T133" s="123" t="s">
        <v>26</v>
      </c>
    </row>
    <row r="134" spans="1:21" s="10" customFormat="1" ht="210" customHeight="1" x14ac:dyDescent="0.2">
      <c r="A134" s="38">
        <f t="shared" ref="A134" si="68">A133+1</f>
        <v>23</v>
      </c>
      <c r="B134" s="39" t="s">
        <v>71</v>
      </c>
      <c r="C134" s="39" t="s">
        <v>30</v>
      </c>
      <c r="D134" s="123" t="s">
        <v>125</v>
      </c>
      <c r="E134" s="40" t="s">
        <v>127</v>
      </c>
      <c r="F134" s="123">
        <v>168</v>
      </c>
      <c r="G134" s="122" t="s">
        <v>28</v>
      </c>
      <c r="H134" s="47">
        <v>1153.0509999999999</v>
      </c>
      <c r="I134" s="123">
        <v>70</v>
      </c>
      <c r="J134" s="123" t="s">
        <v>45</v>
      </c>
      <c r="K134" s="48">
        <f>1020.151*14200+132.9*14300</f>
        <v>16386614.199999999</v>
      </c>
      <c r="L134" s="59">
        <f t="shared" si="65"/>
        <v>16386614.199999999</v>
      </c>
      <c r="M134" s="42" t="s">
        <v>103</v>
      </c>
      <c r="N134" s="42">
        <f t="shared" si="61"/>
        <v>16386614.199999999</v>
      </c>
      <c r="O134" s="65" t="s">
        <v>26</v>
      </c>
      <c r="P134" s="65" t="str">
        <f t="shared" si="62"/>
        <v>-</v>
      </c>
      <c r="Q134" s="43">
        <v>43523</v>
      </c>
      <c r="R134" s="43">
        <v>43585</v>
      </c>
      <c r="S134" s="123" t="s">
        <v>25</v>
      </c>
      <c r="T134" s="123" t="s">
        <v>26</v>
      </c>
    </row>
    <row r="135" spans="1:21" s="10" customFormat="1" ht="178.5" customHeight="1" x14ac:dyDescent="0.2">
      <c r="A135" s="38">
        <f>A53</f>
        <v>24</v>
      </c>
      <c r="B135" s="39" t="s">
        <v>77</v>
      </c>
      <c r="C135" s="39" t="s">
        <v>30</v>
      </c>
      <c r="D135" s="130" t="s">
        <v>93</v>
      </c>
      <c r="E135" s="40" t="s">
        <v>123</v>
      </c>
      <c r="F135" s="130">
        <v>168</v>
      </c>
      <c r="G135" s="129" t="s">
        <v>28</v>
      </c>
      <c r="H135" s="41">
        <v>1099</v>
      </c>
      <c r="I135" s="130">
        <v>70</v>
      </c>
      <c r="J135" s="130" t="s">
        <v>29</v>
      </c>
      <c r="K135" s="42">
        <v>11736000</v>
      </c>
      <c r="L135" s="59">
        <f t="shared" si="65"/>
        <v>11736000</v>
      </c>
      <c r="M135" s="42" t="s">
        <v>103</v>
      </c>
      <c r="N135" s="42">
        <f t="shared" si="61"/>
        <v>11736000</v>
      </c>
      <c r="O135" s="65" t="s">
        <v>26</v>
      </c>
      <c r="P135" s="65" t="str">
        <f t="shared" si="62"/>
        <v>-</v>
      </c>
      <c r="Q135" s="43">
        <v>43533</v>
      </c>
      <c r="R135" s="43">
        <v>43830</v>
      </c>
      <c r="S135" s="44" t="s">
        <v>41</v>
      </c>
      <c r="T135" s="130" t="s">
        <v>26</v>
      </c>
    </row>
    <row r="136" spans="1:21" s="10" customFormat="1" ht="154.5" customHeight="1" x14ac:dyDescent="0.2">
      <c r="A136" s="38">
        <f>A54</f>
        <v>25</v>
      </c>
      <c r="B136" s="39" t="s">
        <v>77</v>
      </c>
      <c r="C136" s="39" t="s">
        <v>30</v>
      </c>
      <c r="D136" s="116" t="s">
        <v>93</v>
      </c>
      <c r="E136" s="40" t="s">
        <v>123</v>
      </c>
      <c r="F136" s="116">
        <v>168</v>
      </c>
      <c r="G136" s="114" t="s">
        <v>28</v>
      </c>
      <c r="H136" s="41">
        <v>300</v>
      </c>
      <c r="I136" s="116">
        <v>70</v>
      </c>
      <c r="J136" s="116" t="s">
        <v>29</v>
      </c>
      <c r="K136" s="42">
        <f>H136*10663</f>
        <v>3198900</v>
      </c>
      <c r="L136" s="59">
        <f t="shared" si="65"/>
        <v>3198900</v>
      </c>
      <c r="M136" s="42" t="s">
        <v>103</v>
      </c>
      <c r="N136" s="42">
        <f t="shared" si="61"/>
        <v>3198900</v>
      </c>
      <c r="O136" s="65" t="s">
        <v>26</v>
      </c>
      <c r="P136" s="65" t="str">
        <f t="shared" si="62"/>
        <v>-</v>
      </c>
      <c r="Q136" s="43">
        <v>43533</v>
      </c>
      <c r="R136" s="43">
        <v>43830</v>
      </c>
      <c r="S136" s="44" t="s">
        <v>41</v>
      </c>
      <c r="T136" s="116" t="s">
        <v>26</v>
      </c>
    </row>
    <row r="137" spans="1:21" s="10" customFormat="1" ht="129.75" customHeight="1" x14ac:dyDescent="0.2">
      <c r="A137" s="38">
        <f>A58</f>
        <v>29</v>
      </c>
      <c r="B137" s="45" t="s">
        <v>69</v>
      </c>
      <c r="C137" s="45" t="s">
        <v>57</v>
      </c>
      <c r="D137" s="130" t="s">
        <v>58</v>
      </c>
      <c r="E137" s="40" t="s">
        <v>78</v>
      </c>
      <c r="F137" s="130">
        <v>168</v>
      </c>
      <c r="G137" s="129" t="s">
        <v>28</v>
      </c>
      <c r="H137" s="41">
        <v>800</v>
      </c>
      <c r="I137" s="130">
        <v>70</v>
      </c>
      <c r="J137" s="130" t="s">
        <v>29</v>
      </c>
      <c r="K137" s="42">
        <f>H137*20400</f>
        <v>16320000</v>
      </c>
      <c r="L137" s="59">
        <f t="shared" si="65"/>
        <v>16320000</v>
      </c>
      <c r="M137" s="42" t="s">
        <v>103</v>
      </c>
      <c r="N137" s="42">
        <f t="shared" si="61"/>
        <v>16320000</v>
      </c>
      <c r="O137" s="65" t="s">
        <v>26</v>
      </c>
      <c r="P137" s="65" t="str">
        <f t="shared" si="62"/>
        <v>-</v>
      </c>
      <c r="Q137" s="43">
        <v>43538</v>
      </c>
      <c r="R137" s="43">
        <v>43861</v>
      </c>
      <c r="S137" s="90" t="s">
        <v>25</v>
      </c>
      <c r="T137" s="130" t="s">
        <v>26</v>
      </c>
      <c r="U137" s="55"/>
    </row>
    <row r="138" spans="1:21" s="10" customFormat="1" ht="178.5" customHeight="1" x14ac:dyDescent="0.2">
      <c r="A138" s="38">
        <f>A62</f>
        <v>32</v>
      </c>
      <c r="B138" s="39" t="s">
        <v>77</v>
      </c>
      <c r="C138" s="39" t="s">
        <v>30</v>
      </c>
      <c r="D138" s="116" t="s">
        <v>88</v>
      </c>
      <c r="E138" s="40" t="s">
        <v>92</v>
      </c>
      <c r="F138" s="116">
        <v>168</v>
      </c>
      <c r="G138" s="114" t="s">
        <v>28</v>
      </c>
      <c r="H138" s="41">
        <v>500</v>
      </c>
      <c r="I138" s="116">
        <v>70</v>
      </c>
      <c r="J138" s="116" t="s">
        <v>29</v>
      </c>
      <c r="K138" s="42">
        <f>H138*10663</f>
        <v>5331500</v>
      </c>
      <c r="L138" s="59">
        <f t="shared" si="65"/>
        <v>5331500</v>
      </c>
      <c r="M138" s="42" t="s">
        <v>103</v>
      </c>
      <c r="N138" s="42">
        <f t="shared" si="61"/>
        <v>5331500</v>
      </c>
      <c r="O138" s="65" t="s">
        <v>26</v>
      </c>
      <c r="P138" s="65" t="str">
        <f t="shared" si="62"/>
        <v>-</v>
      </c>
      <c r="Q138" s="43">
        <v>43564</v>
      </c>
      <c r="R138" s="43">
        <v>43830</v>
      </c>
      <c r="S138" s="44" t="s">
        <v>41</v>
      </c>
      <c r="T138" s="116" t="s">
        <v>26</v>
      </c>
    </row>
    <row r="139" spans="1:21" s="10" customFormat="1" ht="150" customHeight="1" x14ac:dyDescent="0.2">
      <c r="A139" s="38">
        <f>A63</f>
        <v>33</v>
      </c>
      <c r="B139" s="39" t="s">
        <v>77</v>
      </c>
      <c r="C139" s="39" t="s">
        <v>30</v>
      </c>
      <c r="D139" s="116" t="s">
        <v>93</v>
      </c>
      <c r="E139" s="40" t="s">
        <v>123</v>
      </c>
      <c r="F139" s="116">
        <v>168</v>
      </c>
      <c r="G139" s="114" t="s">
        <v>28</v>
      </c>
      <c r="H139" s="41">
        <v>500</v>
      </c>
      <c r="I139" s="116">
        <v>70</v>
      </c>
      <c r="J139" s="116" t="s">
        <v>29</v>
      </c>
      <c r="K139" s="42">
        <f>H139*10663</f>
        <v>5331500</v>
      </c>
      <c r="L139" s="59">
        <f t="shared" si="65"/>
        <v>5331500</v>
      </c>
      <c r="M139" s="42" t="s">
        <v>103</v>
      </c>
      <c r="N139" s="42">
        <f t="shared" si="61"/>
        <v>5331500</v>
      </c>
      <c r="O139" s="65" t="s">
        <v>26</v>
      </c>
      <c r="P139" s="65" t="str">
        <f t="shared" si="62"/>
        <v>-</v>
      </c>
      <c r="Q139" s="43">
        <v>43564</v>
      </c>
      <c r="R139" s="43">
        <v>43830</v>
      </c>
      <c r="S139" s="44" t="s">
        <v>41</v>
      </c>
      <c r="T139" s="116" t="s">
        <v>26</v>
      </c>
    </row>
    <row r="140" spans="1:21" s="10" customFormat="1" ht="156" customHeight="1" x14ac:dyDescent="0.2">
      <c r="A140" s="38">
        <f t="shared" ref="A140" si="69">A139+1</f>
        <v>34</v>
      </c>
      <c r="B140" s="39" t="s">
        <v>77</v>
      </c>
      <c r="C140" s="39" t="s">
        <v>30</v>
      </c>
      <c r="D140" s="127" t="s">
        <v>93</v>
      </c>
      <c r="E140" s="40" t="s">
        <v>123</v>
      </c>
      <c r="F140" s="127">
        <v>168</v>
      </c>
      <c r="G140" s="126" t="s">
        <v>28</v>
      </c>
      <c r="H140" s="41">
        <v>153</v>
      </c>
      <c r="I140" s="127">
        <v>70</v>
      </c>
      <c r="J140" s="127" t="s">
        <v>29</v>
      </c>
      <c r="K140" s="42">
        <v>1634000</v>
      </c>
      <c r="L140" s="59">
        <f t="shared" si="65"/>
        <v>1634000</v>
      </c>
      <c r="M140" s="42" t="s">
        <v>103</v>
      </c>
      <c r="N140" s="42">
        <f t="shared" si="61"/>
        <v>1634000</v>
      </c>
      <c r="O140" s="65" t="s">
        <v>26</v>
      </c>
      <c r="P140" s="65" t="str">
        <f t="shared" si="62"/>
        <v>-</v>
      </c>
      <c r="Q140" s="43">
        <v>43539</v>
      </c>
      <c r="R140" s="43">
        <v>43830</v>
      </c>
      <c r="S140" s="44" t="s">
        <v>41</v>
      </c>
      <c r="T140" s="127" t="s">
        <v>26</v>
      </c>
    </row>
    <row r="141" spans="1:21" s="10" customFormat="1" ht="153" customHeight="1" x14ac:dyDescent="0.2">
      <c r="A141" s="38">
        <f>A65</f>
        <v>35</v>
      </c>
      <c r="B141" s="39" t="s">
        <v>77</v>
      </c>
      <c r="C141" s="39" t="s">
        <v>30</v>
      </c>
      <c r="D141" s="130" t="s">
        <v>93</v>
      </c>
      <c r="E141" s="40" t="s">
        <v>123</v>
      </c>
      <c r="F141" s="130">
        <v>168</v>
      </c>
      <c r="G141" s="129" t="s">
        <v>28</v>
      </c>
      <c r="H141" s="41">
        <v>297</v>
      </c>
      <c r="I141" s="130">
        <v>70</v>
      </c>
      <c r="J141" s="130" t="s">
        <v>29</v>
      </c>
      <c r="K141" s="42">
        <v>2883636.45</v>
      </c>
      <c r="L141" s="59">
        <f t="shared" si="65"/>
        <v>2883636.45</v>
      </c>
      <c r="M141" s="42" t="s">
        <v>103</v>
      </c>
      <c r="N141" s="42">
        <f t="shared" si="61"/>
        <v>2883636.45</v>
      </c>
      <c r="O141" s="65" t="s">
        <v>26</v>
      </c>
      <c r="P141" s="65" t="str">
        <f t="shared" si="62"/>
        <v>-</v>
      </c>
      <c r="Q141" s="43">
        <v>43533</v>
      </c>
      <c r="R141" s="43">
        <v>43830</v>
      </c>
      <c r="S141" s="44" t="s">
        <v>41</v>
      </c>
      <c r="T141" s="130" t="s">
        <v>26</v>
      </c>
    </row>
    <row r="142" spans="1:21" s="10" customFormat="1" ht="150.75" customHeight="1" x14ac:dyDescent="0.2">
      <c r="A142" s="38">
        <f>A66</f>
        <v>36</v>
      </c>
      <c r="B142" s="39" t="s">
        <v>77</v>
      </c>
      <c r="C142" s="39" t="s">
        <v>30</v>
      </c>
      <c r="D142" s="130" t="s">
        <v>93</v>
      </c>
      <c r="E142" s="40" t="s">
        <v>123</v>
      </c>
      <c r="F142" s="130">
        <v>168</v>
      </c>
      <c r="G142" s="129" t="s">
        <v>28</v>
      </c>
      <c r="H142" s="41">
        <v>523</v>
      </c>
      <c r="I142" s="130">
        <v>70</v>
      </c>
      <c r="J142" s="130" t="s">
        <v>29</v>
      </c>
      <c r="K142" s="42">
        <v>5076363.79</v>
      </c>
      <c r="L142" s="59">
        <f t="shared" si="65"/>
        <v>5076363.79</v>
      </c>
      <c r="M142" s="42" t="s">
        <v>103</v>
      </c>
      <c r="N142" s="42">
        <f t="shared" si="61"/>
        <v>5076363.79</v>
      </c>
      <c r="O142" s="65" t="s">
        <v>26</v>
      </c>
      <c r="P142" s="65" t="str">
        <f t="shared" si="62"/>
        <v>-</v>
      </c>
      <c r="Q142" s="43">
        <v>43533</v>
      </c>
      <c r="R142" s="43">
        <v>43830</v>
      </c>
      <c r="S142" s="44" t="s">
        <v>41</v>
      </c>
      <c r="T142" s="130" t="s">
        <v>26</v>
      </c>
    </row>
    <row r="143" spans="1:21" ht="147" customHeight="1" x14ac:dyDescent="0.2">
      <c r="A143" s="46">
        <f>A75</f>
        <v>39</v>
      </c>
      <c r="B143" s="39" t="s">
        <v>77</v>
      </c>
      <c r="C143" s="39" t="s">
        <v>30</v>
      </c>
      <c r="D143" s="130" t="s">
        <v>93</v>
      </c>
      <c r="E143" s="40" t="s">
        <v>123</v>
      </c>
      <c r="F143" s="130">
        <v>168</v>
      </c>
      <c r="G143" s="129" t="s">
        <v>28</v>
      </c>
      <c r="H143" s="41">
        <v>154</v>
      </c>
      <c r="I143" s="130">
        <v>70</v>
      </c>
      <c r="J143" s="130" t="s">
        <v>29</v>
      </c>
      <c r="K143" s="42">
        <v>1645000</v>
      </c>
      <c r="L143" s="59">
        <f t="shared" si="65"/>
        <v>1645000</v>
      </c>
      <c r="M143" s="42" t="s">
        <v>103</v>
      </c>
      <c r="N143" s="42">
        <f t="shared" si="61"/>
        <v>1645000</v>
      </c>
      <c r="O143" s="65" t="s">
        <v>26</v>
      </c>
      <c r="P143" s="65" t="str">
        <f t="shared" si="62"/>
        <v>-</v>
      </c>
      <c r="Q143" s="43">
        <v>43533</v>
      </c>
      <c r="R143" s="43">
        <v>43830</v>
      </c>
      <c r="S143" s="44" t="s">
        <v>41</v>
      </c>
      <c r="T143" s="130" t="s">
        <v>26</v>
      </c>
    </row>
    <row r="144" spans="1:21" ht="83.25" customHeight="1" x14ac:dyDescent="0.2">
      <c r="A144" s="46">
        <f>A76</f>
        <v>40</v>
      </c>
      <c r="B144" s="152" t="s">
        <v>61</v>
      </c>
      <c r="C144" s="152" t="s">
        <v>79</v>
      </c>
      <c r="D144" s="116" t="s">
        <v>42</v>
      </c>
      <c r="E144" s="149" t="s">
        <v>62</v>
      </c>
      <c r="F144" s="149">
        <v>168</v>
      </c>
      <c r="G144" s="152" t="s">
        <v>28</v>
      </c>
      <c r="H144" s="41">
        <v>10000</v>
      </c>
      <c r="I144" s="145">
        <v>70401</v>
      </c>
      <c r="J144" s="146" t="s">
        <v>64</v>
      </c>
      <c r="K144" s="42">
        <v>15727000</v>
      </c>
      <c r="L144" s="59">
        <f>K144*0.7</f>
        <v>11008900</v>
      </c>
      <c r="M144" s="42" t="s">
        <v>103</v>
      </c>
      <c r="N144" s="42">
        <f t="shared" si="61"/>
        <v>11008900</v>
      </c>
      <c r="O144" s="65" t="s">
        <v>26</v>
      </c>
      <c r="P144" s="65" t="str">
        <f t="shared" si="62"/>
        <v>-</v>
      </c>
      <c r="Q144" s="43">
        <v>43647</v>
      </c>
      <c r="R144" s="43">
        <v>44043</v>
      </c>
      <c r="S144" s="44" t="s">
        <v>25</v>
      </c>
      <c r="T144" s="146" t="s">
        <v>26</v>
      </c>
    </row>
    <row r="145" spans="1:20" ht="90.75" customHeight="1" x14ac:dyDescent="0.2">
      <c r="A145" s="46">
        <f>A77</f>
        <v>41</v>
      </c>
      <c r="B145" s="153"/>
      <c r="C145" s="153"/>
      <c r="D145" s="116" t="s">
        <v>43</v>
      </c>
      <c r="E145" s="150"/>
      <c r="F145" s="150"/>
      <c r="G145" s="153"/>
      <c r="H145" s="41">
        <v>5000</v>
      </c>
      <c r="I145" s="145">
        <v>70238</v>
      </c>
      <c r="J145" s="146" t="s">
        <v>37</v>
      </c>
      <c r="K145" s="42">
        <v>8000000</v>
      </c>
      <c r="L145" s="59">
        <f t="shared" ref="L145:L147" si="70">K145*0.7</f>
        <v>5600000</v>
      </c>
      <c r="M145" s="42" t="s">
        <v>103</v>
      </c>
      <c r="N145" s="42">
        <f t="shared" si="61"/>
        <v>5600000</v>
      </c>
      <c r="O145" s="65" t="s">
        <v>26</v>
      </c>
      <c r="P145" s="65" t="str">
        <f t="shared" si="62"/>
        <v>-</v>
      </c>
      <c r="Q145" s="43">
        <v>43647</v>
      </c>
      <c r="R145" s="43">
        <v>44043</v>
      </c>
      <c r="S145" s="44" t="s">
        <v>25</v>
      </c>
      <c r="T145" s="146" t="s">
        <v>26</v>
      </c>
    </row>
    <row r="146" spans="1:20" ht="82.5" customHeight="1" x14ac:dyDescent="0.2">
      <c r="A146" s="46">
        <f>A78</f>
        <v>42</v>
      </c>
      <c r="B146" s="153"/>
      <c r="C146" s="153"/>
      <c r="D146" s="116" t="s">
        <v>63</v>
      </c>
      <c r="E146" s="150"/>
      <c r="F146" s="150"/>
      <c r="G146" s="153"/>
      <c r="H146" s="41">
        <v>1000</v>
      </c>
      <c r="I146" s="145">
        <v>70226</v>
      </c>
      <c r="J146" s="146" t="s">
        <v>36</v>
      </c>
      <c r="K146" s="42">
        <v>1140000</v>
      </c>
      <c r="L146" s="59">
        <f t="shared" si="70"/>
        <v>798000</v>
      </c>
      <c r="M146" s="42" t="s">
        <v>103</v>
      </c>
      <c r="N146" s="42">
        <f t="shared" si="61"/>
        <v>798000</v>
      </c>
      <c r="O146" s="65" t="s">
        <v>26</v>
      </c>
      <c r="P146" s="65" t="str">
        <f t="shared" si="62"/>
        <v>-</v>
      </c>
      <c r="Q146" s="43">
        <v>43647</v>
      </c>
      <c r="R146" s="43">
        <v>44043</v>
      </c>
      <c r="S146" s="44" t="s">
        <v>25</v>
      </c>
      <c r="T146" s="146" t="s">
        <v>26</v>
      </c>
    </row>
    <row r="147" spans="1:20" ht="82.5" customHeight="1" x14ac:dyDescent="0.2">
      <c r="A147" s="46">
        <f>A79</f>
        <v>73</v>
      </c>
      <c r="B147" s="154"/>
      <c r="C147" s="154"/>
      <c r="D147" s="146" t="s">
        <v>160</v>
      </c>
      <c r="E147" s="151"/>
      <c r="F147" s="151"/>
      <c r="G147" s="154"/>
      <c r="H147" s="41">
        <v>5000</v>
      </c>
      <c r="I147" s="145">
        <v>70248</v>
      </c>
      <c r="J147" s="146" t="s">
        <v>159</v>
      </c>
      <c r="K147" s="42">
        <v>6124000</v>
      </c>
      <c r="L147" s="59">
        <f t="shared" si="70"/>
        <v>4286800</v>
      </c>
      <c r="M147" s="42" t="s">
        <v>103</v>
      </c>
      <c r="N147" s="42">
        <f t="shared" si="61"/>
        <v>4286800</v>
      </c>
      <c r="O147" s="65" t="s">
        <v>26</v>
      </c>
      <c r="P147" s="65" t="str">
        <f t="shared" si="62"/>
        <v>-</v>
      </c>
      <c r="Q147" s="43">
        <v>43647</v>
      </c>
      <c r="R147" s="43">
        <v>44043</v>
      </c>
      <c r="S147" s="44" t="s">
        <v>25</v>
      </c>
      <c r="T147" s="146" t="s">
        <v>26</v>
      </c>
    </row>
    <row r="148" spans="1:20" ht="177.75" customHeight="1" x14ac:dyDescent="0.2">
      <c r="A148" s="46">
        <f>A81</f>
        <v>44</v>
      </c>
      <c r="B148" s="39" t="s">
        <v>77</v>
      </c>
      <c r="C148" s="39" t="s">
        <v>30</v>
      </c>
      <c r="D148" s="134" t="s">
        <v>93</v>
      </c>
      <c r="E148" s="40" t="s">
        <v>123</v>
      </c>
      <c r="F148" s="134">
        <v>168</v>
      </c>
      <c r="G148" s="133" t="s">
        <v>28</v>
      </c>
      <c r="H148" s="41">
        <v>79</v>
      </c>
      <c r="I148" s="134">
        <v>70</v>
      </c>
      <c r="J148" s="134" t="s">
        <v>29</v>
      </c>
      <c r="K148" s="42">
        <v>767272.75</v>
      </c>
      <c r="L148" s="59">
        <f t="shared" ref="L148:L149" si="71">K148</f>
        <v>767272.75</v>
      </c>
      <c r="M148" s="42" t="s">
        <v>103</v>
      </c>
      <c r="N148" s="42">
        <f t="shared" si="61"/>
        <v>767272.75</v>
      </c>
      <c r="O148" s="65" t="s">
        <v>26</v>
      </c>
      <c r="P148" s="65" t="str">
        <f t="shared" si="62"/>
        <v>-</v>
      </c>
      <c r="Q148" s="43">
        <v>43572</v>
      </c>
      <c r="R148" s="43">
        <v>43830</v>
      </c>
      <c r="S148" s="44" t="s">
        <v>41</v>
      </c>
      <c r="T148" s="134" t="s">
        <v>26</v>
      </c>
    </row>
    <row r="149" spans="1:20" ht="141.75" x14ac:dyDescent="0.2">
      <c r="A149" s="46">
        <f>A82</f>
        <v>45</v>
      </c>
      <c r="B149" s="39" t="s">
        <v>77</v>
      </c>
      <c r="C149" s="39" t="s">
        <v>30</v>
      </c>
      <c r="D149" s="134" t="s">
        <v>93</v>
      </c>
      <c r="E149" s="40" t="s">
        <v>123</v>
      </c>
      <c r="F149" s="134">
        <v>168</v>
      </c>
      <c r="G149" s="133" t="s">
        <v>28</v>
      </c>
      <c r="H149" s="41">
        <v>126</v>
      </c>
      <c r="I149" s="134">
        <v>70</v>
      </c>
      <c r="J149" s="134" t="s">
        <v>29</v>
      </c>
      <c r="K149" s="42">
        <v>1223636.3999999999</v>
      </c>
      <c r="L149" s="59">
        <f t="shared" si="71"/>
        <v>1223636.3999999999</v>
      </c>
      <c r="M149" s="42" t="s">
        <v>103</v>
      </c>
      <c r="N149" s="42">
        <f t="shared" si="61"/>
        <v>1223636.3999999999</v>
      </c>
      <c r="O149" s="65" t="s">
        <v>26</v>
      </c>
      <c r="P149" s="65" t="str">
        <f t="shared" si="62"/>
        <v>-</v>
      </c>
      <c r="Q149" s="43">
        <v>43572</v>
      </c>
      <c r="R149" s="43">
        <v>43830</v>
      </c>
      <c r="S149" s="44" t="s">
        <v>41</v>
      </c>
      <c r="T149" s="134" t="s">
        <v>26</v>
      </c>
    </row>
    <row r="150" spans="1:20" ht="141.75" x14ac:dyDescent="0.2">
      <c r="A150" s="46">
        <f>A83</f>
        <v>46</v>
      </c>
      <c r="B150" s="39" t="s">
        <v>77</v>
      </c>
      <c r="C150" s="39" t="s">
        <v>30</v>
      </c>
      <c r="D150" s="116" t="s">
        <v>93</v>
      </c>
      <c r="E150" s="40" t="s">
        <v>123</v>
      </c>
      <c r="F150" s="116">
        <v>168</v>
      </c>
      <c r="G150" s="114" t="s">
        <v>28</v>
      </c>
      <c r="H150" s="41">
        <v>700</v>
      </c>
      <c r="I150" s="116">
        <v>70</v>
      </c>
      <c r="J150" s="116" t="s">
        <v>29</v>
      </c>
      <c r="K150" s="42">
        <f>H150*10663</f>
        <v>7464100</v>
      </c>
      <c r="L150" s="59">
        <f t="shared" ref="L150:L166" si="72">K150</f>
        <v>7464100</v>
      </c>
      <c r="M150" s="42" t="s">
        <v>103</v>
      </c>
      <c r="N150" s="42">
        <f t="shared" si="61"/>
        <v>7464100</v>
      </c>
      <c r="O150" s="65" t="s">
        <v>26</v>
      </c>
      <c r="P150" s="65" t="str">
        <f t="shared" si="62"/>
        <v>-</v>
      </c>
      <c r="Q150" s="43">
        <v>43686</v>
      </c>
      <c r="R150" s="43">
        <v>43830</v>
      </c>
      <c r="S150" s="44" t="s">
        <v>41</v>
      </c>
      <c r="T150" s="116" t="s">
        <v>26</v>
      </c>
    </row>
    <row r="151" spans="1:20" ht="168" customHeight="1" x14ac:dyDescent="0.2">
      <c r="A151" s="46">
        <f>A84</f>
        <v>47</v>
      </c>
      <c r="B151" s="39" t="s">
        <v>77</v>
      </c>
      <c r="C151" s="39" t="s">
        <v>30</v>
      </c>
      <c r="D151" s="116" t="s">
        <v>93</v>
      </c>
      <c r="E151" s="40" t="s">
        <v>123</v>
      </c>
      <c r="F151" s="116">
        <v>168</v>
      </c>
      <c r="G151" s="114" t="s">
        <v>28</v>
      </c>
      <c r="H151" s="41">
        <v>350</v>
      </c>
      <c r="I151" s="116">
        <v>70</v>
      </c>
      <c r="J151" s="116" t="s">
        <v>29</v>
      </c>
      <c r="K151" s="42">
        <f>H151*10663</f>
        <v>3732050</v>
      </c>
      <c r="L151" s="59">
        <f t="shared" si="72"/>
        <v>3732050</v>
      </c>
      <c r="M151" s="42" t="s">
        <v>103</v>
      </c>
      <c r="N151" s="42">
        <f t="shared" si="61"/>
        <v>3732050</v>
      </c>
      <c r="O151" s="65" t="s">
        <v>26</v>
      </c>
      <c r="P151" s="65" t="str">
        <f t="shared" si="62"/>
        <v>-</v>
      </c>
      <c r="Q151" s="43">
        <v>43686</v>
      </c>
      <c r="R151" s="43">
        <v>43830</v>
      </c>
      <c r="S151" s="44" t="s">
        <v>41</v>
      </c>
      <c r="T151" s="116" t="s">
        <v>26</v>
      </c>
    </row>
    <row r="152" spans="1:20" s="15" customFormat="1" ht="196.5" customHeight="1" x14ac:dyDescent="0.2">
      <c r="A152" s="46">
        <f>A86</f>
        <v>49</v>
      </c>
      <c r="B152" s="39" t="s">
        <v>71</v>
      </c>
      <c r="C152" s="39" t="s">
        <v>30</v>
      </c>
      <c r="D152" s="116" t="s">
        <v>128</v>
      </c>
      <c r="E152" s="40" t="s">
        <v>129</v>
      </c>
      <c r="F152" s="116">
        <v>168</v>
      </c>
      <c r="G152" s="114" t="s">
        <v>28</v>
      </c>
      <c r="H152" s="41">
        <v>500</v>
      </c>
      <c r="I152" s="116">
        <v>70</v>
      </c>
      <c r="J152" s="116" t="s">
        <v>45</v>
      </c>
      <c r="K152" s="42">
        <f>H152*8500</f>
        <v>4250000</v>
      </c>
      <c r="L152" s="59">
        <f t="shared" si="72"/>
        <v>4250000</v>
      </c>
      <c r="M152" s="42" t="s">
        <v>103</v>
      </c>
      <c r="N152" s="42">
        <f t="shared" si="61"/>
        <v>4250000</v>
      </c>
      <c r="O152" s="65" t="s">
        <v>26</v>
      </c>
      <c r="P152" s="65" t="str">
        <f t="shared" si="62"/>
        <v>-</v>
      </c>
      <c r="Q152" s="43">
        <v>43718</v>
      </c>
      <c r="R152" s="43">
        <v>43799</v>
      </c>
      <c r="S152" s="116" t="s">
        <v>31</v>
      </c>
      <c r="T152" s="116" t="s">
        <v>103</v>
      </c>
    </row>
    <row r="153" spans="1:20" s="15" customFormat="1" ht="222.75" customHeight="1" x14ac:dyDescent="0.2">
      <c r="A153" s="46">
        <f>A87</f>
        <v>50</v>
      </c>
      <c r="B153" s="39" t="s">
        <v>71</v>
      </c>
      <c r="C153" s="39" t="s">
        <v>30</v>
      </c>
      <c r="D153" s="116" t="s">
        <v>130</v>
      </c>
      <c r="E153" s="40" t="s">
        <v>131</v>
      </c>
      <c r="F153" s="116">
        <v>168</v>
      </c>
      <c r="G153" s="114" t="s">
        <v>28</v>
      </c>
      <c r="H153" s="41">
        <v>500</v>
      </c>
      <c r="I153" s="116">
        <v>70</v>
      </c>
      <c r="J153" s="116" t="s">
        <v>45</v>
      </c>
      <c r="K153" s="48">
        <f>H153*10000</f>
        <v>5000000</v>
      </c>
      <c r="L153" s="59">
        <f t="shared" si="72"/>
        <v>5000000</v>
      </c>
      <c r="M153" s="42" t="s">
        <v>103</v>
      </c>
      <c r="N153" s="42">
        <f t="shared" si="61"/>
        <v>5000000</v>
      </c>
      <c r="O153" s="65" t="s">
        <v>26</v>
      </c>
      <c r="P153" s="65" t="str">
        <f t="shared" si="62"/>
        <v>-</v>
      </c>
      <c r="Q153" s="43">
        <v>43718</v>
      </c>
      <c r="R153" s="43">
        <v>43799</v>
      </c>
      <c r="S153" s="116" t="s">
        <v>31</v>
      </c>
      <c r="T153" s="116" t="s">
        <v>103</v>
      </c>
    </row>
    <row r="154" spans="1:20" s="15" customFormat="1" ht="222.75" customHeight="1" x14ac:dyDescent="0.2">
      <c r="A154" s="46">
        <f>A88</f>
        <v>51</v>
      </c>
      <c r="B154" s="39" t="s">
        <v>71</v>
      </c>
      <c r="C154" s="39" t="s">
        <v>30</v>
      </c>
      <c r="D154" s="116" t="s">
        <v>132</v>
      </c>
      <c r="E154" s="40" t="s">
        <v>133</v>
      </c>
      <c r="F154" s="116">
        <v>168</v>
      </c>
      <c r="G154" s="114" t="s">
        <v>28</v>
      </c>
      <c r="H154" s="41">
        <v>500</v>
      </c>
      <c r="I154" s="116">
        <v>70</v>
      </c>
      <c r="J154" s="116" t="s">
        <v>45</v>
      </c>
      <c r="K154" s="48">
        <f>H154*11400</f>
        <v>5700000</v>
      </c>
      <c r="L154" s="59">
        <f t="shared" si="72"/>
        <v>5700000</v>
      </c>
      <c r="M154" s="42" t="s">
        <v>103</v>
      </c>
      <c r="N154" s="42">
        <f t="shared" si="61"/>
        <v>5700000</v>
      </c>
      <c r="O154" s="65" t="s">
        <v>26</v>
      </c>
      <c r="P154" s="65" t="str">
        <f t="shared" si="62"/>
        <v>-</v>
      </c>
      <c r="Q154" s="43">
        <v>43718</v>
      </c>
      <c r="R154" s="43">
        <v>43799</v>
      </c>
      <c r="S154" s="116" t="s">
        <v>31</v>
      </c>
      <c r="T154" s="116" t="s">
        <v>103</v>
      </c>
    </row>
    <row r="155" spans="1:20" ht="213.75" customHeight="1" x14ac:dyDescent="0.2">
      <c r="A155" s="49">
        <f t="shared" ref="A155:A164" si="73">A92</f>
        <v>54</v>
      </c>
      <c r="B155" s="39" t="s">
        <v>71</v>
      </c>
      <c r="C155" s="39" t="s">
        <v>30</v>
      </c>
      <c r="D155" s="116" t="s">
        <v>128</v>
      </c>
      <c r="E155" s="40" t="s">
        <v>129</v>
      </c>
      <c r="F155" s="116">
        <v>168</v>
      </c>
      <c r="G155" s="114" t="s">
        <v>28</v>
      </c>
      <c r="H155" s="41">
        <v>1000</v>
      </c>
      <c r="I155" s="116">
        <v>70</v>
      </c>
      <c r="J155" s="116" t="s">
        <v>45</v>
      </c>
      <c r="K155" s="42">
        <f>H155*9000</f>
        <v>9000000</v>
      </c>
      <c r="L155" s="59">
        <f t="shared" si="72"/>
        <v>9000000</v>
      </c>
      <c r="M155" s="42" t="s">
        <v>103</v>
      </c>
      <c r="N155" s="42">
        <f t="shared" si="61"/>
        <v>9000000</v>
      </c>
      <c r="O155" s="65" t="s">
        <v>26</v>
      </c>
      <c r="P155" s="65" t="str">
        <f t="shared" si="62"/>
        <v>-</v>
      </c>
      <c r="Q155" s="43">
        <v>43779</v>
      </c>
      <c r="R155" s="43">
        <v>43830</v>
      </c>
      <c r="S155" s="116" t="s">
        <v>31</v>
      </c>
      <c r="T155" s="116" t="s">
        <v>103</v>
      </c>
    </row>
    <row r="156" spans="1:20" ht="218.25" customHeight="1" x14ac:dyDescent="0.2">
      <c r="A156" s="49">
        <f t="shared" si="73"/>
        <v>55</v>
      </c>
      <c r="B156" s="39" t="s">
        <v>71</v>
      </c>
      <c r="C156" s="39" t="s">
        <v>30</v>
      </c>
      <c r="D156" s="116" t="s">
        <v>130</v>
      </c>
      <c r="E156" s="40" t="s">
        <v>131</v>
      </c>
      <c r="F156" s="116">
        <v>168</v>
      </c>
      <c r="G156" s="114" t="s">
        <v>28</v>
      </c>
      <c r="H156" s="41">
        <v>1000</v>
      </c>
      <c r="I156" s="116">
        <v>70</v>
      </c>
      <c r="J156" s="116" t="s">
        <v>45</v>
      </c>
      <c r="K156" s="48">
        <f>H156*11000</f>
        <v>11000000</v>
      </c>
      <c r="L156" s="59">
        <f t="shared" si="72"/>
        <v>11000000</v>
      </c>
      <c r="M156" s="42" t="s">
        <v>103</v>
      </c>
      <c r="N156" s="42">
        <f t="shared" si="61"/>
        <v>11000000</v>
      </c>
      <c r="O156" s="65" t="s">
        <v>26</v>
      </c>
      <c r="P156" s="65" t="str">
        <f t="shared" si="62"/>
        <v>-</v>
      </c>
      <c r="Q156" s="43">
        <v>43779</v>
      </c>
      <c r="R156" s="43">
        <v>43830</v>
      </c>
      <c r="S156" s="116" t="s">
        <v>31</v>
      </c>
      <c r="T156" s="116" t="s">
        <v>103</v>
      </c>
    </row>
    <row r="157" spans="1:20" ht="217.5" customHeight="1" x14ac:dyDescent="0.2">
      <c r="A157" s="49">
        <f t="shared" si="73"/>
        <v>56</v>
      </c>
      <c r="B157" s="39" t="s">
        <v>71</v>
      </c>
      <c r="C157" s="39" t="s">
        <v>30</v>
      </c>
      <c r="D157" s="116" t="s">
        <v>132</v>
      </c>
      <c r="E157" s="40" t="s">
        <v>133</v>
      </c>
      <c r="F157" s="116">
        <v>168</v>
      </c>
      <c r="G157" s="114" t="s">
        <v>28</v>
      </c>
      <c r="H157" s="41">
        <v>1000</v>
      </c>
      <c r="I157" s="116">
        <v>70</v>
      </c>
      <c r="J157" s="116" t="s">
        <v>45</v>
      </c>
      <c r="K157" s="48">
        <f>H157*12000</f>
        <v>12000000</v>
      </c>
      <c r="L157" s="59">
        <f t="shared" si="72"/>
        <v>12000000</v>
      </c>
      <c r="M157" s="42" t="s">
        <v>103</v>
      </c>
      <c r="N157" s="42">
        <f t="shared" si="61"/>
        <v>12000000</v>
      </c>
      <c r="O157" s="65" t="s">
        <v>26</v>
      </c>
      <c r="P157" s="65" t="str">
        <f t="shared" si="62"/>
        <v>-</v>
      </c>
      <c r="Q157" s="43">
        <v>43779</v>
      </c>
      <c r="R157" s="43">
        <v>43830</v>
      </c>
      <c r="S157" s="116" t="s">
        <v>31</v>
      </c>
      <c r="T157" s="116" t="s">
        <v>103</v>
      </c>
    </row>
    <row r="158" spans="1:20" ht="150.75" customHeight="1" x14ac:dyDescent="0.2">
      <c r="A158" s="49">
        <f t="shared" si="73"/>
        <v>57</v>
      </c>
      <c r="B158" s="39" t="s">
        <v>77</v>
      </c>
      <c r="C158" s="39" t="s">
        <v>30</v>
      </c>
      <c r="D158" s="116" t="s">
        <v>142</v>
      </c>
      <c r="E158" s="40" t="s">
        <v>123</v>
      </c>
      <c r="F158" s="116">
        <v>168</v>
      </c>
      <c r="G158" s="114" t="s">
        <v>28</v>
      </c>
      <c r="H158" s="41">
        <v>500</v>
      </c>
      <c r="I158" s="116">
        <v>70</v>
      </c>
      <c r="J158" s="116" t="s">
        <v>29</v>
      </c>
      <c r="K158" s="42">
        <f>H158*10663</f>
        <v>5331500</v>
      </c>
      <c r="L158" s="59">
        <f t="shared" si="72"/>
        <v>5331500</v>
      </c>
      <c r="M158" s="42" t="s">
        <v>103</v>
      </c>
      <c r="N158" s="42">
        <f t="shared" si="61"/>
        <v>5331500</v>
      </c>
      <c r="O158" s="65" t="s">
        <v>26</v>
      </c>
      <c r="P158" s="65" t="str">
        <f t="shared" si="62"/>
        <v>-</v>
      </c>
      <c r="Q158" s="43">
        <v>43779</v>
      </c>
      <c r="R158" s="43">
        <v>44196</v>
      </c>
      <c r="S158" s="44" t="s">
        <v>41</v>
      </c>
      <c r="T158" s="116" t="s">
        <v>26</v>
      </c>
    </row>
    <row r="159" spans="1:20" ht="172.5" customHeight="1" x14ac:dyDescent="0.2">
      <c r="A159" s="49">
        <f t="shared" si="73"/>
        <v>58</v>
      </c>
      <c r="B159" s="39" t="s">
        <v>77</v>
      </c>
      <c r="C159" s="39" t="s">
        <v>30</v>
      </c>
      <c r="D159" s="116" t="s">
        <v>142</v>
      </c>
      <c r="E159" s="40" t="s">
        <v>123</v>
      </c>
      <c r="F159" s="116">
        <v>168</v>
      </c>
      <c r="G159" s="114" t="s">
        <v>28</v>
      </c>
      <c r="H159" s="41">
        <v>500</v>
      </c>
      <c r="I159" s="116">
        <v>70</v>
      </c>
      <c r="J159" s="116" t="s">
        <v>29</v>
      </c>
      <c r="K159" s="42">
        <f t="shared" ref="K159:K161" si="74">H159*10663</f>
        <v>5331500</v>
      </c>
      <c r="L159" s="59">
        <f t="shared" si="72"/>
        <v>5331500</v>
      </c>
      <c r="M159" s="42" t="s">
        <v>103</v>
      </c>
      <c r="N159" s="42">
        <f t="shared" si="61"/>
        <v>5331500</v>
      </c>
      <c r="O159" s="65" t="s">
        <v>26</v>
      </c>
      <c r="P159" s="65" t="str">
        <f t="shared" si="62"/>
        <v>-</v>
      </c>
      <c r="Q159" s="43">
        <v>43779</v>
      </c>
      <c r="R159" s="43">
        <v>44196</v>
      </c>
      <c r="S159" s="44" t="s">
        <v>41</v>
      </c>
      <c r="T159" s="116" t="s">
        <v>26</v>
      </c>
    </row>
    <row r="160" spans="1:20" ht="159" customHeight="1" x14ac:dyDescent="0.2">
      <c r="A160" s="49">
        <f t="shared" si="73"/>
        <v>59</v>
      </c>
      <c r="B160" s="39" t="s">
        <v>77</v>
      </c>
      <c r="C160" s="39" t="s">
        <v>30</v>
      </c>
      <c r="D160" s="116" t="s">
        <v>142</v>
      </c>
      <c r="E160" s="40" t="s">
        <v>123</v>
      </c>
      <c r="F160" s="116">
        <v>168</v>
      </c>
      <c r="G160" s="114" t="s">
        <v>28</v>
      </c>
      <c r="H160" s="41">
        <v>500</v>
      </c>
      <c r="I160" s="116">
        <v>70</v>
      </c>
      <c r="J160" s="116" t="s">
        <v>29</v>
      </c>
      <c r="K160" s="42">
        <f t="shared" si="74"/>
        <v>5331500</v>
      </c>
      <c r="L160" s="59">
        <f t="shared" si="72"/>
        <v>5331500</v>
      </c>
      <c r="M160" s="42" t="s">
        <v>103</v>
      </c>
      <c r="N160" s="42">
        <f t="shared" si="61"/>
        <v>5331500</v>
      </c>
      <c r="O160" s="65" t="s">
        <v>26</v>
      </c>
      <c r="P160" s="65" t="str">
        <f t="shared" si="62"/>
        <v>-</v>
      </c>
      <c r="Q160" s="43">
        <v>43779</v>
      </c>
      <c r="R160" s="43">
        <v>44196</v>
      </c>
      <c r="S160" s="44" t="s">
        <v>41</v>
      </c>
      <c r="T160" s="116" t="s">
        <v>26</v>
      </c>
    </row>
    <row r="161" spans="1:20" ht="180" customHeight="1" x14ac:dyDescent="0.2">
      <c r="A161" s="49">
        <f t="shared" si="73"/>
        <v>60</v>
      </c>
      <c r="B161" s="39" t="s">
        <v>77</v>
      </c>
      <c r="C161" s="39" t="s">
        <v>30</v>
      </c>
      <c r="D161" s="116" t="s">
        <v>142</v>
      </c>
      <c r="E161" s="40" t="s">
        <v>123</v>
      </c>
      <c r="F161" s="116">
        <v>168</v>
      </c>
      <c r="G161" s="114" t="s">
        <v>28</v>
      </c>
      <c r="H161" s="41">
        <v>500</v>
      </c>
      <c r="I161" s="116">
        <v>70</v>
      </c>
      <c r="J161" s="116" t="s">
        <v>29</v>
      </c>
      <c r="K161" s="42">
        <f t="shared" si="74"/>
        <v>5331500</v>
      </c>
      <c r="L161" s="59">
        <f t="shared" si="72"/>
        <v>5331500</v>
      </c>
      <c r="M161" s="42" t="s">
        <v>103</v>
      </c>
      <c r="N161" s="42">
        <f t="shared" si="61"/>
        <v>5331500</v>
      </c>
      <c r="O161" s="65" t="s">
        <v>26</v>
      </c>
      <c r="P161" s="65" t="str">
        <f t="shared" si="62"/>
        <v>-</v>
      </c>
      <c r="Q161" s="43">
        <v>43779</v>
      </c>
      <c r="R161" s="43">
        <v>44196</v>
      </c>
      <c r="S161" s="44" t="s">
        <v>41</v>
      </c>
      <c r="T161" s="116" t="s">
        <v>26</v>
      </c>
    </row>
    <row r="162" spans="1:20" ht="149.25" customHeight="1" x14ac:dyDescent="0.2">
      <c r="A162" s="49">
        <f t="shared" si="73"/>
        <v>61</v>
      </c>
      <c r="B162" s="39" t="s">
        <v>89</v>
      </c>
      <c r="C162" s="39" t="s">
        <v>90</v>
      </c>
      <c r="D162" s="116" t="s">
        <v>143</v>
      </c>
      <c r="E162" s="40" t="s">
        <v>91</v>
      </c>
      <c r="F162" s="116">
        <v>168</v>
      </c>
      <c r="G162" s="114" t="s">
        <v>28</v>
      </c>
      <c r="H162" s="47">
        <v>680</v>
      </c>
      <c r="I162" s="116">
        <v>70</v>
      </c>
      <c r="J162" s="116" t="s">
        <v>29</v>
      </c>
      <c r="K162" s="48">
        <f>H162*8000</f>
        <v>5440000</v>
      </c>
      <c r="L162" s="59">
        <f t="shared" si="72"/>
        <v>5440000</v>
      </c>
      <c r="M162" s="42" t="s">
        <v>103</v>
      </c>
      <c r="N162" s="42">
        <f t="shared" si="61"/>
        <v>5440000</v>
      </c>
      <c r="O162" s="65" t="s">
        <v>26</v>
      </c>
      <c r="P162" s="65" t="str">
        <f t="shared" si="62"/>
        <v>-</v>
      </c>
      <c r="Q162" s="43">
        <v>43809</v>
      </c>
      <c r="R162" s="43">
        <v>44196</v>
      </c>
      <c r="S162" s="44" t="s">
        <v>41</v>
      </c>
      <c r="T162" s="116" t="s">
        <v>26</v>
      </c>
    </row>
    <row r="163" spans="1:20" ht="160.5" customHeight="1" x14ac:dyDescent="0.2">
      <c r="A163" s="49">
        <f t="shared" si="73"/>
        <v>62</v>
      </c>
      <c r="B163" s="39" t="s">
        <v>77</v>
      </c>
      <c r="C163" s="39" t="s">
        <v>30</v>
      </c>
      <c r="D163" s="116" t="s">
        <v>142</v>
      </c>
      <c r="E163" s="40" t="s">
        <v>123</v>
      </c>
      <c r="F163" s="116">
        <v>168</v>
      </c>
      <c r="G163" s="114" t="s">
        <v>28</v>
      </c>
      <c r="H163" s="41">
        <v>500</v>
      </c>
      <c r="I163" s="116">
        <v>70</v>
      </c>
      <c r="J163" s="116" t="s">
        <v>29</v>
      </c>
      <c r="K163" s="42">
        <f t="shared" ref="K163:K164" si="75">H163*10663</f>
        <v>5331500</v>
      </c>
      <c r="L163" s="59">
        <f t="shared" si="72"/>
        <v>5331500</v>
      </c>
      <c r="M163" s="42" t="s">
        <v>103</v>
      </c>
      <c r="N163" s="42">
        <f t="shared" si="61"/>
        <v>5331500</v>
      </c>
      <c r="O163" s="65" t="s">
        <v>26</v>
      </c>
      <c r="P163" s="65" t="str">
        <f t="shared" si="62"/>
        <v>-</v>
      </c>
      <c r="Q163" s="43">
        <v>43809</v>
      </c>
      <c r="R163" s="43">
        <v>44196</v>
      </c>
      <c r="S163" s="44" t="s">
        <v>41</v>
      </c>
      <c r="T163" s="116" t="s">
        <v>26</v>
      </c>
    </row>
    <row r="164" spans="1:20" ht="159.75" customHeight="1" x14ac:dyDescent="0.2">
      <c r="A164" s="49">
        <f t="shared" si="73"/>
        <v>63</v>
      </c>
      <c r="B164" s="39" t="s">
        <v>77</v>
      </c>
      <c r="C164" s="39" t="s">
        <v>30</v>
      </c>
      <c r="D164" s="116" t="s">
        <v>142</v>
      </c>
      <c r="E164" s="40" t="s">
        <v>123</v>
      </c>
      <c r="F164" s="116">
        <v>168</v>
      </c>
      <c r="G164" s="114" t="s">
        <v>28</v>
      </c>
      <c r="H164" s="41">
        <v>500</v>
      </c>
      <c r="I164" s="116">
        <v>70</v>
      </c>
      <c r="J164" s="116" t="s">
        <v>29</v>
      </c>
      <c r="K164" s="42">
        <f t="shared" si="75"/>
        <v>5331500</v>
      </c>
      <c r="L164" s="59">
        <f t="shared" si="72"/>
        <v>5331500</v>
      </c>
      <c r="M164" s="42" t="s">
        <v>103</v>
      </c>
      <c r="N164" s="42">
        <f t="shared" si="61"/>
        <v>5331500</v>
      </c>
      <c r="O164" s="65" t="s">
        <v>26</v>
      </c>
      <c r="P164" s="65" t="str">
        <f t="shared" si="62"/>
        <v>-</v>
      </c>
      <c r="Q164" s="43">
        <v>43809</v>
      </c>
      <c r="R164" s="43">
        <v>44196</v>
      </c>
      <c r="S164" s="44" t="s">
        <v>41</v>
      </c>
      <c r="T164" s="116" t="s">
        <v>26</v>
      </c>
    </row>
    <row r="165" spans="1:20" ht="159.75" customHeight="1" x14ac:dyDescent="0.2">
      <c r="A165" s="38">
        <f>A68</f>
        <v>68</v>
      </c>
      <c r="B165" s="39" t="s">
        <v>77</v>
      </c>
      <c r="C165" s="39" t="s">
        <v>30</v>
      </c>
      <c r="D165" s="134" t="s">
        <v>93</v>
      </c>
      <c r="E165" s="40" t="s">
        <v>123</v>
      </c>
      <c r="F165" s="134">
        <v>168</v>
      </c>
      <c r="G165" s="133" t="s">
        <v>28</v>
      </c>
      <c r="H165" s="41">
        <v>137</v>
      </c>
      <c r="I165" s="134">
        <v>70</v>
      </c>
      <c r="J165" s="134" t="s">
        <v>29</v>
      </c>
      <c r="K165" s="42">
        <v>1330000.04</v>
      </c>
      <c r="L165" s="59">
        <f t="shared" si="72"/>
        <v>1330000.04</v>
      </c>
      <c r="M165" s="42" t="s">
        <v>103</v>
      </c>
      <c r="N165" s="42">
        <f t="shared" si="61"/>
        <v>1330000.04</v>
      </c>
      <c r="O165" s="65" t="s">
        <v>26</v>
      </c>
      <c r="P165" s="65" t="str">
        <f t="shared" si="62"/>
        <v>-</v>
      </c>
      <c r="Q165" s="43">
        <v>43572</v>
      </c>
      <c r="R165" s="43">
        <v>43830</v>
      </c>
      <c r="S165" s="44" t="s">
        <v>41</v>
      </c>
      <c r="T165" s="134" t="s">
        <v>26</v>
      </c>
    </row>
    <row r="166" spans="1:20" ht="159.75" customHeight="1" x14ac:dyDescent="0.2">
      <c r="A166" s="38">
        <f>A69</f>
        <v>69</v>
      </c>
      <c r="B166" s="39" t="s">
        <v>77</v>
      </c>
      <c r="C166" s="39" t="s">
        <v>30</v>
      </c>
      <c r="D166" s="134" t="s">
        <v>93</v>
      </c>
      <c r="E166" s="40" t="s">
        <v>123</v>
      </c>
      <c r="F166" s="134">
        <v>168</v>
      </c>
      <c r="G166" s="133" t="s">
        <v>28</v>
      </c>
      <c r="H166" s="41">
        <v>132</v>
      </c>
      <c r="I166" s="134">
        <v>70</v>
      </c>
      <c r="J166" s="134" t="s">
        <v>29</v>
      </c>
      <c r="K166" s="42">
        <v>1280909.1299999999</v>
      </c>
      <c r="L166" s="59">
        <f t="shared" si="72"/>
        <v>1280909.1299999999</v>
      </c>
      <c r="M166" s="42" t="s">
        <v>103</v>
      </c>
      <c r="N166" s="42">
        <f t="shared" si="61"/>
        <v>1280909.1299999999</v>
      </c>
      <c r="O166" s="65" t="s">
        <v>26</v>
      </c>
      <c r="P166" s="65" t="str">
        <f t="shared" si="62"/>
        <v>-</v>
      </c>
      <c r="Q166" s="43">
        <v>43572</v>
      </c>
      <c r="R166" s="43">
        <v>43830</v>
      </c>
      <c r="S166" s="44" t="s">
        <v>41</v>
      </c>
      <c r="T166" s="134" t="s">
        <v>26</v>
      </c>
    </row>
    <row r="167" spans="1:20" s="10" customFormat="1" ht="79.5" customHeight="1" x14ac:dyDescent="0.25">
      <c r="A167" s="179" t="s">
        <v>158</v>
      </c>
      <c r="B167" s="179"/>
      <c r="C167" s="179"/>
      <c r="D167" s="179"/>
      <c r="E167" s="179"/>
      <c r="F167" s="179"/>
      <c r="G167" s="179"/>
      <c r="H167" s="179"/>
      <c r="I167" s="179"/>
      <c r="J167" s="179"/>
      <c r="K167" s="179"/>
      <c r="L167" s="104"/>
      <c r="M167" s="104"/>
      <c r="N167" s="104"/>
      <c r="O167" s="104"/>
      <c r="P167" s="104"/>
      <c r="Q167" s="22"/>
      <c r="R167" s="22"/>
      <c r="S167" s="30"/>
      <c r="T167" s="30"/>
    </row>
    <row r="168" spans="1:20" s="10" customFormat="1" ht="22.5" customHeight="1" x14ac:dyDescent="0.2">
      <c r="A168" s="174" t="s">
        <v>149</v>
      </c>
      <c r="B168" s="174"/>
      <c r="C168" s="174"/>
      <c r="D168" s="174"/>
      <c r="E168" s="174"/>
      <c r="F168" s="174"/>
      <c r="G168" s="174"/>
      <c r="H168" s="174"/>
      <c r="I168" s="174"/>
      <c r="J168" s="174"/>
      <c r="K168" s="174"/>
      <c r="L168" s="103"/>
      <c r="M168" s="103"/>
      <c r="N168" s="103"/>
      <c r="O168" s="103"/>
      <c r="P168" s="103"/>
      <c r="Q168" s="22"/>
      <c r="R168" s="22"/>
      <c r="S168" s="30"/>
      <c r="T168" s="30"/>
    </row>
    <row r="169" spans="1:20" s="10" customFormat="1" ht="34.5" customHeight="1" x14ac:dyDescent="0.2">
      <c r="A169" s="36" t="s">
        <v>86</v>
      </c>
      <c r="B169" s="36"/>
      <c r="C169" s="36"/>
      <c r="D169" s="36"/>
      <c r="E169" s="37" t="s">
        <v>112</v>
      </c>
      <c r="F169" s="36"/>
      <c r="G169" s="36"/>
      <c r="H169" s="36"/>
      <c r="I169" s="36"/>
      <c r="J169" s="36"/>
      <c r="K169" s="36"/>
      <c r="L169" s="36"/>
      <c r="M169" s="36"/>
      <c r="N169" s="36"/>
      <c r="O169" s="36"/>
      <c r="P169" s="36"/>
      <c r="Q169" s="36"/>
      <c r="R169" s="36"/>
      <c r="S169" s="30"/>
      <c r="T169" s="30"/>
    </row>
    <row r="170" spans="1:20" ht="37.5" customHeight="1" x14ac:dyDescent="0.25">
      <c r="A170" s="37"/>
      <c r="B170" s="16"/>
      <c r="C170" s="16"/>
      <c r="D170" s="16"/>
      <c r="E170" s="16"/>
      <c r="F170" s="16"/>
      <c r="G170" s="16"/>
      <c r="H170" s="16"/>
      <c r="I170" s="16"/>
      <c r="J170" s="16"/>
      <c r="K170" s="187"/>
      <c r="L170" s="187"/>
      <c r="M170" s="27"/>
      <c r="N170" s="27"/>
      <c r="O170" s="27"/>
      <c r="P170" s="27"/>
      <c r="Q170" s="16"/>
      <c r="R170" s="16"/>
      <c r="S170" s="16"/>
      <c r="T170" s="16"/>
    </row>
    <row r="171" spans="1:20" ht="15.75" x14ac:dyDescent="0.25">
      <c r="A171" s="37"/>
      <c r="B171" s="16"/>
      <c r="C171" s="16"/>
      <c r="D171" s="16"/>
      <c r="E171" s="16"/>
      <c r="F171" s="16"/>
      <c r="G171" s="16"/>
      <c r="H171" s="16"/>
      <c r="I171" s="16"/>
      <c r="J171" s="16"/>
      <c r="K171" s="27"/>
      <c r="L171" s="27"/>
      <c r="M171" s="27"/>
      <c r="N171" s="27"/>
      <c r="O171" s="27"/>
      <c r="P171" s="27"/>
      <c r="Q171" s="16"/>
      <c r="R171" s="16"/>
      <c r="S171" s="16"/>
      <c r="T171" s="16"/>
    </row>
    <row r="172" spans="1:20" ht="15.75" x14ac:dyDescent="0.25">
      <c r="A172" s="37"/>
      <c r="B172" s="16"/>
      <c r="C172" s="16"/>
      <c r="D172" s="16"/>
      <c r="E172" s="16"/>
      <c r="F172" s="16"/>
      <c r="G172" s="16"/>
      <c r="H172" s="16"/>
      <c r="I172" s="16"/>
      <c r="J172" s="16"/>
      <c r="K172" s="27"/>
      <c r="L172" s="187">
        <f>K106-L27+K103+K104+25420042.3</f>
        <v>2999107498.6200008</v>
      </c>
      <c r="M172" s="187"/>
      <c r="N172" s="188" t="s">
        <v>109</v>
      </c>
      <c r="O172" s="188"/>
      <c r="P172" s="27"/>
      <c r="Q172" s="171"/>
      <c r="R172" s="172"/>
      <c r="S172" s="16"/>
      <c r="T172" s="16"/>
    </row>
    <row r="173" spans="1:20" ht="15.75" x14ac:dyDescent="0.25">
      <c r="A173" s="16"/>
      <c r="B173" s="16"/>
      <c r="C173" s="16"/>
      <c r="D173" s="16"/>
      <c r="E173" s="16"/>
      <c r="F173" s="16"/>
      <c r="G173" s="16"/>
      <c r="H173" s="16"/>
      <c r="I173" s="16"/>
      <c r="J173" s="16"/>
      <c r="K173" s="27"/>
      <c r="L173" s="187">
        <f>K107+K103</f>
        <v>1716493811.49</v>
      </c>
      <c r="M173" s="187"/>
      <c r="N173" s="188"/>
      <c r="O173" s="188"/>
      <c r="P173" s="27"/>
      <c r="Q173" s="19"/>
      <c r="R173" s="16"/>
      <c r="S173" s="16"/>
      <c r="T173" s="16"/>
    </row>
    <row r="174" spans="1:20" ht="15.75" x14ac:dyDescent="0.25">
      <c r="A174" s="16"/>
      <c r="B174" s="16"/>
      <c r="C174" s="16"/>
      <c r="D174" s="16"/>
      <c r="E174" s="16"/>
      <c r="F174" s="16"/>
      <c r="G174" s="16"/>
      <c r="H174" s="16"/>
      <c r="I174" s="16"/>
      <c r="J174" s="16"/>
      <c r="K174" s="28"/>
      <c r="L174" s="187">
        <f>K108+25420042.3</f>
        <v>303573236.70999998</v>
      </c>
      <c r="M174" s="187"/>
      <c r="N174" s="188"/>
      <c r="O174" s="188"/>
      <c r="P174" s="28"/>
      <c r="Q174" s="16"/>
      <c r="R174" s="16"/>
      <c r="S174" s="16"/>
      <c r="T174" s="16"/>
    </row>
    <row r="175" spans="1:20" ht="15.75" x14ac:dyDescent="0.25">
      <c r="A175" s="16"/>
      <c r="B175" s="16"/>
      <c r="C175" s="16"/>
      <c r="D175" s="16"/>
      <c r="E175" s="16"/>
      <c r="F175" s="16"/>
      <c r="G175" s="16"/>
      <c r="H175" s="16"/>
      <c r="I175" s="16"/>
      <c r="J175" s="16"/>
      <c r="K175" s="27"/>
      <c r="L175" s="189">
        <f>L174/(L172-L173)</f>
        <v>0.23668329736078278</v>
      </c>
      <c r="M175" s="189"/>
      <c r="N175" s="188"/>
      <c r="O175" s="188"/>
      <c r="P175" s="27"/>
      <c r="Q175" s="16"/>
      <c r="R175" s="16"/>
      <c r="S175" s="16"/>
      <c r="T175" s="16"/>
    </row>
    <row r="176" spans="1:20" ht="15.75" x14ac:dyDescent="0.25">
      <c r="A176" s="16"/>
      <c r="B176" s="16"/>
      <c r="C176" s="16"/>
      <c r="D176" s="16"/>
      <c r="E176" s="16"/>
      <c r="F176" s="16"/>
      <c r="G176" s="16"/>
      <c r="H176" s="16"/>
      <c r="I176" s="16"/>
      <c r="J176" s="16"/>
      <c r="K176" s="27"/>
      <c r="L176" s="27"/>
      <c r="M176" s="27"/>
      <c r="N176" s="27"/>
      <c r="O176" s="27"/>
      <c r="P176" s="27"/>
      <c r="R176" s="16"/>
      <c r="S176" s="16"/>
      <c r="T176" s="16"/>
    </row>
    <row r="177" spans="1:20" ht="15.75" x14ac:dyDescent="0.25">
      <c r="A177" s="16"/>
      <c r="B177" s="16"/>
      <c r="C177" s="16"/>
      <c r="D177" s="16"/>
      <c r="E177" s="16"/>
      <c r="F177" s="16"/>
      <c r="G177" s="16"/>
      <c r="H177" s="16"/>
      <c r="I177" s="16"/>
      <c r="J177" s="16"/>
      <c r="K177" s="27"/>
      <c r="L177" s="27"/>
      <c r="M177" s="27"/>
      <c r="N177" s="27"/>
      <c r="O177" s="27"/>
      <c r="P177" s="27"/>
      <c r="Q177" s="16"/>
      <c r="R177" s="16"/>
      <c r="S177" s="16"/>
      <c r="T177" s="16"/>
    </row>
    <row r="178" spans="1:20" ht="15.75" x14ac:dyDescent="0.25">
      <c r="A178" s="16"/>
      <c r="B178" s="16"/>
      <c r="C178" s="16"/>
      <c r="D178" s="16"/>
      <c r="E178" s="16"/>
      <c r="F178" s="16"/>
      <c r="G178" s="16"/>
      <c r="H178" s="16"/>
      <c r="I178" s="16"/>
      <c r="J178" s="16"/>
      <c r="K178" s="27"/>
      <c r="L178" s="27"/>
      <c r="M178" s="27"/>
      <c r="N178" s="27"/>
      <c r="O178" s="27"/>
      <c r="P178" s="27"/>
      <c r="Q178" s="21"/>
      <c r="R178" s="16"/>
      <c r="S178" s="16"/>
      <c r="T178" s="16"/>
    </row>
    <row r="179" spans="1:20" ht="15.75" x14ac:dyDescent="0.25">
      <c r="A179" s="16"/>
      <c r="B179" s="16"/>
      <c r="C179" s="16"/>
      <c r="D179" s="16"/>
      <c r="E179" s="16"/>
      <c r="F179" s="16"/>
      <c r="G179" s="16"/>
      <c r="H179" s="16"/>
      <c r="I179" s="16"/>
      <c r="J179" s="16"/>
      <c r="K179" s="20"/>
      <c r="L179" s="20"/>
      <c r="M179" s="20"/>
      <c r="N179" s="20"/>
      <c r="O179" s="20"/>
      <c r="P179" s="20"/>
      <c r="Q179" s="16"/>
      <c r="R179" s="16"/>
      <c r="S179" s="16"/>
      <c r="T179" s="16"/>
    </row>
    <row r="180" spans="1:20" ht="15.75" x14ac:dyDescent="0.25">
      <c r="A180" s="16"/>
      <c r="B180" s="16"/>
      <c r="C180" s="16"/>
      <c r="D180" s="16"/>
      <c r="E180" s="16"/>
      <c r="F180" s="16"/>
      <c r="G180" s="16"/>
      <c r="H180" s="16"/>
      <c r="I180" s="16"/>
      <c r="J180" s="16"/>
      <c r="K180" s="20"/>
      <c r="L180" s="20"/>
      <c r="M180" s="20"/>
      <c r="N180" s="20"/>
      <c r="O180" s="20"/>
      <c r="P180" s="20"/>
      <c r="Q180" s="16"/>
      <c r="R180" s="16"/>
      <c r="S180" s="16"/>
      <c r="T180" s="16"/>
    </row>
    <row r="181" spans="1:20" x14ac:dyDescent="0.2">
      <c r="A181" s="16"/>
      <c r="B181" s="16"/>
      <c r="C181" s="16"/>
      <c r="D181" s="16"/>
      <c r="E181" s="16"/>
      <c r="F181" s="16"/>
      <c r="G181" s="16"/>
      <c r="H181" s="16"/>
      <c r="I181" s="16"/>
      <c r="J181" s="16"/>
      <c r="K181" s="16"/>
      <c r="L181" s="16"/>
      <c r="M181" s="16"/>
      <c r="N181" s="16"/>
      <c r="O181" s="16"/>
      <c r="P181" s="16"/>
      <c r="Q181" s="16"/>
      <c r="R181" s="16"/>
      <c r="S181" s="16"/>
      <c r="T181" s="16"/>
    </row>
    <row r="182" spans="1:20" x14ac:dyDescent="0.2">
      <c r="A182" s="16"/>
      <c r="B182" s="16"/>
      <c r="C182" s="16"/>
      <c r="D182" s="16"/>
      <c r="E182" s="16"/>
      <c r="F182" s="16"/>
      <c r="G182" s="16"/>
      <c r="H182" s="16"/>
      <c r="I182" s="16"/>
      <c r="J182" s="16"/>
      <c r="K182" s="16"/>
      <c r="L182" s="16"/>
      <c r="M182" s="16"/>
      <c r="N182" s="16"/>
      <c r="O182" s="16"/>
      <c r="P182" s="16"/>
      <c r="Q182" s="16"/>
      <c r="R182" s="16"/>
      <c r="S182" s="16"/>
      <c r="T182" s="16"/>
    </row>
    <row r="183" spans="1:20" x14ac:dyDescent="0.2">
      <c r="A183" s="16"/>
      <c r="B183" s="16"/>
      <c r="C183" s="16"/>
      <c r="D183" s="16"/>
      <c r="E183" s="16"/>
      <c r="F183" s="16"/>
      <c r="G183" s="16"/>
      <c r="H183" s="16"/>
      <c r="I183" s="16"/>
      <c r="J183" s="16"/>
      <c r="K183" s="16"/>
      <c r="L183" s="16"/>
      <c r="M183" s="16"/>
      <c r="N183" s="16"/>
      <c r="O183" s="16"/>
      <c r="P183" s="16"/>
      <c r="Q183" s="16"/>
      <c r="R183" s="16"/>
      <c r="S183" s="16"/>
      <c r="T183" s="16"/>
    </row>
    <row r="184" spans="1:20" x14ac:dyDescent="0.2">
      <c r="A184" s="16"/>
      <c r="B184" s="16"/>
      <c r="C184" s="16"/>
      <c r="D184" s="16"/>
      <c r="E184" s="16"/>
      <c r="F184" s="16"/>
      <c r="G184" s="16"/>
      <c r="H184" s="16"/>
      <c r="I184" s="16"/>
      <c r="J184" s="16"/>
      <c r="K184" s="16"/>
      <c r="L184" s="16"/>
      <c r="M184" s="16"/>
      <c r="N184" s="16"/>
      <c r="O184" s="16"/>
      <c r="P184" s="16"/>
      <c r="Q184" s="16"/>
      <c r="R184" s="16"/>
      <c r="S184" s="16"/>
      <c r="T184" s="16"/>
    </row>
    <row r="185" spans="1:20" x14ac:dyDescent="0.2">
      <c r="A185" s="16"/>
      <c r="B185" s="16"/>
      <c r="C185" s="16"/>
      <c r="D185" s="16"/>
      <c r="E185" s="16"/>
      <c r="F185" s="16"/>
      <c r="G185" s="16"/>
      <c r="H185" s="16"/>
      <c r="I185" s="16"/>
      <c r="J185" s="16"/>
      <c r="K185" s="16"/>
      <c r="L185" s="16"/>
      <c r="M185" s="16"/>
      <c r="N185" s="16"/>
      <c r="O185" s="16"/>
      <c r="P185" s="16"/>
      <c r="Q185" s="16"/>
      <c r="R185" s="16"/>
      <c r="S185" s="16"/>
      <c r="T185" s="16"/>
    </row>
    <row r="186" spans="1:20" x14ac:dyDescent="0.2">
      <c r="A186" s="16"/>
      <c r="B186" s="16"/>
      <c r="C186" s="16"/>
      <c r="D186" s="16"/>
      <c r="E186" s="16"/>
      <c r="F186" s="16"/>
      <c r="G186" s="16"/>
      <c r="H186" s="16"/>
      <c r="I186" s="16"/>
      <c r="J186" s="16"/>
      <c r="K186" s="16"/>
      <c r="L186" s="16"/>
      <c r="M186" s="16"/>
      <c r="N186" s="16"/>
      <c r="O186" s="16"/>
      <c r="P186" s="16"/>
      <c r="Q186" s="16"/>
      <c r="R186" s="16"/>
      <c r="S186" s="16"/>
      <c r="T186" s="16"/>
    </row>
    <row r="187" spans="1:20" x14ac:dyDescent="0.2">
      <c r="A187" s="16"/>
      <c r="B187" s="16"/>
      <c r="C187" s="16"/>
      <c r="D187" s="16"/>
      <c r="E187" s="16"/>
      <c r="F187" s="16"/>
      <c r="G187" s="16"/>
      <c r="H187" s="16"/>
      <c r="I187" s="16"/>
      <c r="J187" s="16"/>
      <c r="K187" s="16"/>
      <c r="L187" s="16"/>
      <c r="M187" s="16"/>
      <c r="N187" s="16"/>
      <c r="O187" s="16"/>
      <c r="P187" s="16"/>
      <c r="Q187" s="16"/>
      <c r="R187" s="16"/>
      <c r="S187" s="16"/>
      <c r="T187" s="16"/>
    </row>
    <row r="188" spans="1:20" x14ac:dyDescent="0.2">
      <c r="A188" s="16"/>
      <c r="B188" s="16"/>
      <c r="C188" s="16"/>
      <c r="D188" s="16"/>
      <c r="E188" s="16"/>
      <c r="F188" s="16"/>
      <c r="G188" s="16"/>
      <c r="H188" s="16"/>
      <c r="I188" s="16"/>
      <c r="J188" s="16"/>
      <c r="K188" s="16"/>
      <c r="L188" s="16"/>
      <c r="M188" s="16"/>
      <c r="N188" s="16"/>
      <c r="O188" s="16"/>
      <c r="P188" s="16"/>
      <c r="Q188" s="16"/>
      <c r="R188" s="16"/>
      <c r="S188" s="16"/>
      <c r="T188" s="16"/>
    </row>
    <row r="189" spans="1:20" x14ac:dyDescent="0.2">
      <c r="A189" s="16"/>
      <c r="B189" s="16"/>
      <c r="C189" s="16"/>
      <c r="D189" s="16"/>
      <c r="E189" s="16"/>
      <c r="F189" s="16"/>
      <c r="G189" s="16"/>
      <c r="H189" s="16"/>
      <c r="I189" s="16"/>
      <c r="J189" s="16"/>
      <c r="K189" s="16"/>
      <c r="L189" s="16"/>
      <c r="M189" s="16"/>
      <c r="N189" s="16"/>
      <c r="O189" s="16"/>
      <c r="P189" s="16"/>
      <c r="Q189" s="16"/>
      <c r="R189" s="16"/>
      <c r="S189" s="16"/>
      <c r="T189" s="16"/>
    </row>
    <row r="190" spans="1:20" x14ac:dyDescent="0.2">
      <c r="A190" s="16"/>
      <c r="B190" s="16"/>
      <c r="C190" s="16"/>
      <c r="D190" s="16"/>
      <c r="E190" s="16"/>
      <c r="F190" s="16"/>
      <c r="G190" s="16"/>
      <c r="H190" s="16"/>
      <c r="I190" s="16"/>
      <c r="J190" s="16"/>
      <c r="K190" s="16"/>
      <c r="L190" s="16"/>
      <c r="M190" s="16"/>
      <c r="N190" s="16"/>
      <c r="O190" s="16"/>
      <c r="P190" s="16"/>
      <c r="Q190" s="16"/>
      <c r="R190" s="16"/>
      <c r="S190" s="16"/>
      <c r="T190" s="16"/>
    </row>
    <row r="191" spans="1:20" x14ac:dyDescent="0.2">
      <c r="A191" s="16"/>
      <c r="B191" s="16"/>
      <c r="C191" s="16"/>
      <c r="D191" s="16"/>
      <c r="E191" s="16"/>
      <c r="F191" s="16"/>
      <c r="G191" s="16"/>
      <c r="H191" s="16"/>
      <c r="I191" s="16"/>
      <c r="J191" s="16"/>
      <c r="K191" s="16"/>
      <c r="L191" s="16"/>
      <c r="M191" s="16"/>
      <c r="N191" s="16"/>
      <c r="O191" s="16"/>
      <c r="P191" s="16"/>
      <c r="Q191" s="16"/>
      <c r="R191" s="16"/>
      <c r="S191" s="16"/>
      <c r="T191" s="16"/>
    </row>
    <row r="192" spans="1:20" x14ac:dyDescent="0.2">
      <c r="A192" s="16"/>
      <c r="B192" s="16"/>
      <c r="C192" s="16"/>
      <c r="D192" s="16"/>
      <c r="E192" s="16"/>
      <c r="F192" s="16"/>
      <c r="G192" s="17"/>
      <c r="H192" s="16"/>
      <c r="I192" s="16"/>
      <c r="J192" s="16"/>
      <c r="K192" s="16"/>
      <c r="L192" s="16"/>
      <c r="M192" s="16"/>
      <c r="N192" s="16"/>
      <c r="O192" s="16"/>
      <c r="P192" s="16"/>
      <c r="Q192" s="16"/>
      <c r="R192" s="16"/>
      <c r="S192" s="16"/>
      <c r="T192" s="16"/>
    </row>
    <row r="193" spans="1:20" x14ac:dyDescent="0.2">
      <c r="A193" s="16"/>
      <c r="B193" s="16"/>
      <c r="C193" s="16"/>
      <c r="D193" s="16"/>
      <c r="E193" s="16"/>
      <c r="F193" s="16"/>
      <c r="G193" s="16"/>
      <c r="H193" s="16"/>
      <c r="I193" s="16"/>
      <c r="J193" s="16"/>
      <c r="K193" s="16"/>
      <c r="L193" s="16"/>
      <c r="M193" s="16"/>
      <c r="N193" s="16"/>
      <c r="O193" s="16"/>
      <c r="P193" s="16"/>
      <c r="Q193" s="16"/>
      <c r="R193" s="16"/>
      <c r="S193" s="16"/>
      <c r="T193" s="16"/>
    </row>
    <row r="194" spans="1:20" x14ac:dyDescent="0.2">
      <c r="A194" s="16"/>
      <c r="B194" s="16"/>
      <c r="C194" s="16"/>
      <c r="D194" s="16"/>
      <c r="E194" s="16"/>
      <c r="F194" s="16"/>
      <c r="G194" s="16"/>
      <c r="H194" s="16"/>
      <c r="I194" s="16"/>
      <c r="J194" s="16"/>
      <c r="K194" s="16"/>
      <c r="L194" s="16"/>
      <c r="M194" s="16"/>
      <c r="N194" s="16"/>
      <c r="O194" s="16"/>
      <c r="P194" s="16"/>
      <c r="Q194" s="16"/>
      <c r="R194" s="16"/>
      <c r="S194" s="16"/>
      <c r="T194" s="16"/>
    </row>
    <row r="195" spans="1:20" x14ac:dyDescent="0.2">
      <c r="A195" s="16"/>
      <c r="B195" s="16"/>
      <c r="C195" s="16"/>
      <c r="D195" s="16"/>
      <c r="E195" s="16"/>
      <c r="F195" s="16"/>
      <c r="G195" s="16"/>
      <c r="H195" s="16"/>
      <c r="I195" s="16"/>
      <c r="J195" s="16"/>
      <c r="K195" s="16"/>
      <c r="L195" s="16"/>
      <c r="M195" s="16"/>
      <c r="N195" s="16"/>
      <c r="O195" s="16"/>
      <c r="P195" s="16"/>
      <c r="Q195" s="16"/>
      <c r="R195" s="16"/>
      <c r="S195" s="16"/>
      <c r="T195" s="16"/>
    </row>
    <row r="196" spans="1:20" x14ac:dyDescent="0.2">
      <c r="A196" s="16"/>
      <c r="B196" s="16"/>
      <c r="C196" s="16"/>
      <c r="D196" s="16"/>
      <c r="E196" s="16"/>
      <c r="F196" s="16"/>
      <c r="G196" s="16"/>
      <c r="H196" s="16"/>
      <c r="I196" s="16"/>
      <c r="J196" s="16"/>
      <c r="K196" s="16"/>
      <c r="L196" s="16"/>
      <c r="M196" s="16"/>
      <c r="N196" s="16"/>
      <c r="O196" s="16"/>
      <c r="P196" s="16"/>
      <c r="Q196" s="16"/>
      <c r="R196" s="16"/>
      <c r="S196" s="16"/>
      <c r="T196" s="16"/>
    </row>
    <row r="197" spans="1:20" x14ac:dyDescent="0.2">
      <c r="A197" s="16"/>
      <c r="B197" s="16"/>
      <c r="C197" s="16"/>
      <c r="D197" s="16"/>
      <c r="E197" s="16"/>
      <c r="F197" s="16"/>
      <c r="G197" s="16"/>
      <c r="H197" s="16"/>
      <c r="I197" s="16"/>
      <c r="J197" s="16"/>
      <c r="K197" s="16"/>
      <c r="L197" s="16"/>
      <c r="M197" s="16"/>
      <c r="N197" s="16"/>
      <c r="O197" s="16"/>
      <c r="P197" s="16"/>
      <c r="Q197" s="16"/>
      <c r="R197" s="16"/>
      <c r="S197" s="16"/>
      <c r="T197" s="16"/>
    </row>
    <row r="198" spans="1:20" x14ac:dyDescent="0.2">
      <c r="A198" s="16"/>
      <c r="B198" s="16"/>
      <c r="C198" s="16"/>
      <c r="D198" s="16"/>
      <c r="E198" s="16"/>
      <c r="F198" s="16"/>
      <c r="G198" s="16"/>
      <c r="H198" s="16"/>
      <c r="I198" s="16"/>
      <c r="J198" s="16"/>
      <c r="K198" s="16"/>
      <c r="L198" s="16"/>
      <c r="M198" s="16"/>
      <c r="N198" s="16"/>
      <c r="O198" s="16"/>
      <c r="P198" s="16"/>
      <c r="Q198" s="16"/>
      <c r="R198" s="16"/>
      <c r="S198" s="16"/>
      <c r="T198" s="16"/>
    </row>
    <row r="199" spans="1:20" x14ac:dyDescent="0.2">
      <c r="A199" s="16"/>
      <c r="B199" s="16"/>
      <c r="C199" s="16"/>
      <c r="D199" s="16"/>
      <c r="E199" s="16"/>
      <c r="F199" s="16"/>
      <c r="G199" s="16"/>
      <c r="H199" s="16"/>
      <c r="I199" s="16"/>
      <c r="J199" s="16"/>
      <c r="K199" s="16"/>
      <c r="L199" s="16"/>
      <c r="M199" s="16"/>
      <c r="N199" s="16"/>
      <c r="O199" s="16"/>
      <c r="P199" s="16"/>
      <c r="Q199" s="16"/>
      <c r="R199" s="16"/>
      <c r="S199" s="16"/>
      <c r="T199" s="16"/>
    </row>
    <row r="200" spans="1:20" x14ac:dyDescent="0.2">
      <c r="A200" s="16"/>
      <c r="B200" s="16"/>
      <c r="C200" s="16"/>
      <c r="D200" s="16"/>
      <c r="E200" s="16"/>
      <c r="F200" s="16"/>
      <c r="G200" s="16"/>
      <c r="H200" s="16"/>
      <c r="I200" s="16"/>
      <c r="J200" s="16"/>
      <c r="K200" s="16"/>
      <c r="L200" s="16"/>
      <c r="M200" s="16"/>
      <c r="N200" s="16"/>
      <c r="O200" s="16"/>
      <c r="P200" s="16"/>
      <c r="Q200" s="16"/>
      <c r="R200" s="16"/>
      <c r="S200" s="16"/>
      <c r="T200" s="16"/>
    </row>
    <row r="201" spans="1:20" x14ac:dyDescent="0.2">
      <c r="A201" s="16"/>
      <c r="B201" s="16"/>
      <c r="C201" s="16"/>
      <c r="D201" s="16"/>
      <c r="E201" s="16"/>
      <c r="F201" s="16"/>
      <c r="G201" s="16"/>
      <c r="H201" s="16"/>
      <c r="I201" s="16"/>
      <c r="J201" s="16"/>
      <c r="K201" s="16"/>
      <c r="L201" s="16"/>
      <c r="M201" s="16"/>
      <c r="N201" s="16"/>
      <c r="O201" s="16"/>
      <c r="P201" s="16"/>
      <c r="Q201" s="16"/>
      <c r="R201" s="16"/>
      <c r="S201" s="16"/>
      <c r="T201" s="16"/>
    </row>
    <row r="202" spans="1:20" x14ac:dyDescent="0.2">
      <c r="A202" s="16"/>
      <c r="B202" s="16"/>
      <c r="C202" s="16"/>
      <c r="D202" s="16"/>
      <c r="E202" s="16"/>
      <c r="F202" s="16"/>
      <c r="G202" s="16"/>
      <c r="H202" s="16"/>
      <c r="I202" s="16"/>
      <c r="J202" s="16"/>
      <c r="K202" s="16"/>
      <c r="L202" s="16"/>
      <c r="M202" s="16"/>
      <c r="N202" s="16"/>
      <c r="O202" s="16"/>
      <c r="P202" s="16"/>
      <c r="Q202" s="16"/>
      <c r="R202" s="16"/>
      <c r="S202" s="16"/>
      <c r="T202" s="16"/>
    </row>
    <row r="203" spans="1:20" x14ac:dyDescent="0.2">
      <c r="A203" s="16"/>
      <c r="B203" s="16"/>
      <c r="C203" s="16"/>
      <c r="D203" s="16"/>
      <c r="E203" s="16"/>
      <c r="F203" s="16"/>
      <c r="G203" s="16"/>
      <c r="H203" s="16"/>
      <c r="I203" s="16"/>
      <c r="J203" s="16"/>
      <c r="K203" s="16"/>
      <c r="L203" s="16"/>
      <c r="M203" s="16"/>
      <c r="N203" s="16"/>
      <c r="O203" s="16"/>
      <c r="P203" s="16"/>
      <c r="Q203" s="16"/>
      <c r="R203" s="16"/>
      <c r="S203" s="16"/>
      <c r="T203" s="16"/>
    </row>
    <row r="204" spans="1:20" x14ac:dyDescent="0.2">
      <c r="A204" s="16"/>
      <c r="B204" s="16"/>
      <c r="C204" s="16"/>
      <c r="D204" s="16"/>
      <c r="E204" s="16"/>
      <c r="F204" s="16"/>
      <c r="G204" s="16"/>
      <c r="H204" s="16"/>
      <c r="I204" s="16"/>
      <c r="J204" s="16"/>
      <c r="K204" s="16"/>
      <c r="L204" s="16"/>
      <c r="M204" s="16"/>
      <c r="N204" s="16"/>
      <c r="O204" s="16"/>
      <c r="P204" s="16"/>
      <c r="Q204" s="16"/>
      <c r="R204" s="16"/>
      <c r="S204" s="16"/>
      <c r="T204" s="16"/>
    </row>
    <row r="205" spans="1:20" x14ac:dyDescent="0.2">
      <c r="A205" s="16"/>
      <c r="B205" s="16"/>
      <c r="C205" s="16"/>
      <c r="D205" s="16"/>
      <c r="E205" s="16"/>
      <c r="F205" s="16"/>
      <c r="G205" s="16"/>
      <c r="H205" s="16"/>
      <c r="I205" s="16"/>
      <c r="J205" s="16"/>
      <c r="K205" s="16"/>
      <c r="L205" s="16"/>
      <c r="M205" s="16"/>
      <c r="N205" s="16"/>
      <c r="O205" s="16"/>
      <c r="P205" s="16"/>
      <c r="Q205" s="16"/>
      <c r="R205" s="16"/>
      <c r="S205" s="16"/>
      <c r="T205" s="16"/>
    </row>
    <row r="206" spans="1:20" x14ac:dyDescent="0.2">
      <c r="A206" s="16"/>
      <c r="B206" s="16"/>
      <c r="C206" s="16"/>
      <c r="D206" s="16"/>
      <c r="E206" s="16"/>
      <c r="F206" s="16"/>
      <c r="G206" s="16"/>
      <c r="H206" s="16"/>
      <c r="I206" s="16"/>
      <c r="J206" s="16"/>
      <c r="K206" s="16"/>
      <c r="L206" s="16"/>
      <c r="M206" s="16"/>
      <c r="N206" s="16"/>
      <c r="O206" s="16"/>
      <c r="P206" s="16"/>
      <c r="Q206" s="16"/>
      <c r="R206" s="16"/>
      <c r="S206" s="16"/>
      <c r="T206" s="16"/>
    </row>
    <row r="207" spans="1:20" x14ac:dyDescent="0.2">
      <c r="A207" s="16"/>
      <c r="B207" s="16"/>
      <c r="C207" s="16"/>
      <c r="D207" s="16"/>
      <c r="E207" s="16"/>
      <c r="F207" s="16"/>
      <c r="G207" s="16"/>
      <c r="H207" s="16"/>
      <c r="I207" s="16"/>
      <c r="J207" s="16"/>
      <c r="K207" s="16"/>
      <c r="L207" s="16"/>
      <c r="M207" s="16"/>
      <c r="N207" s="16"/>
      <c r="O207" s="16"/>
      <c r="P207" s="16"/>
      <c r="Q207" s="16"/>
      <c r="R207" s="16"/>
      <c r="S207" s="16"/>
      <c r="T207" s="16"/>
    </row>
  </sheetData>
  <mergeCells count="76">
    <mergeCell ref="B20:B22"/>
    <mergeCell ref="C20:C22"/>
    <mergeCell ref="E20:E22"/>
    <mergeCell ref="F20:F22"/>
    <mergeCell ref="G20:G22"/>
    <mergeCell ref="G114:G116"/>
    <mergeCell ref="L172:M172"/>
    <mergeCell ref="L173:M173"/>
    <mergeCell ref="N172:O175"/>
    <mergeCell ref="L174:M174"/>
    <mergeCell ref="K170:L170"/>
    <mergeCell ref="L175:M175"/>
    <mergeCell ref="A1:T1"/>
    <mergeCell ref="A2:T2"/>
    <mergeCell ref="A14:A16"/>
    <mergeCell ref="F15:G15"/>
    <mergeCell ref="I15:J15"/>
    <mergeCell ref="C14:C16"/>
    <mergeCell ref="F7:T7"/>
    <mergeCell ref="Q15:R15"/>
    <mergeCell ref="A8:E8"/>
    <mergeCell ref="A10:E10"/>
    <mergeCell ref="D15:D16"/>
    <mergeCell ref="E15:E16"/>
    <mergeCell ref="F9:T9"/>
    <mergeCell ref="F8:T8"/>
    <mergeCell ref="D14:R14"/>
    <mergeCell ref="F11:T11"/>
    <mergeCell ref="Q172:R172"/>
    <mergeCell ref="B14:B16"/>
    <mergeCell ref="A168:K168"/>
    <mergeCell ref="A61:T61"/>
    <mergeCell ref="A28:T28"/>
    <mergeCell ref="A89:T89"/>
    <mergeCell ref="A108:J108"/>
    <mergeCell ref="A73:T73"/>
    <mergeCell ref="A112:J112"/>
    <mergeCell ref="A113:J113"/>
    <mergeCell ref="A167:K167"/>
    <mergeCell ref="A111:J111"/>
    <mergeCell ref="B114:B116"/>
    <mergeCell ref="C114:C116"/>
    <mergeCell ref="E114:E116"/>
    <mergeCell ref="F114:F116"/>
    <mergeCell ref="S14:S16"/>
    <mergeCell ref="A12:E12"/>
    <mergeCell ref="A11:E11"/>
    <mergeCell ref="A9:E9"/>
    <mergeCell ref="K15:K16"/>
    <mergeCell ref="F12:T12"/>
    <mergeCell ref="A3:T3"/>
    <mergeCell ref="A109:J109"/>
    <mergeCell ref="A110:J110"/>
    <mergeCell ref="A106:J106"/>
    <mergeCell ref="A107:J107"/>
    <mergeCell ref="L15:L16"/>
    <mergeCell ref="A18:T18"/>
    <mergeCell ref="M15:N15"/>
    <mergeCell ref="O15:P15"/>
    <mergeCell ref="F10:T10"/>
    <mergeCell ref="A4:T4"/>
    <mergeCell ref="A6:E6"/>
    <mergeCell ref="A7:E7"/>
    <mergeCell ref="F6:T6"/>
    <mergeCell ref="H15:H16"/>
    <mergeCell ref="T14:T15"/>
    <mergeCell ref="B144:B147"/>
    <mergeCell ref="C144:C147"/>
    <mergeCell ref="E144:E147"/>
    <mergeCell ref="F144:F147"/>
    <mergeCell ref="G144:G147"/>
    <mergeCell ref="F76:F79"/>
    <mergeCell ref="G76:G79"/>
    <mergeCell ref="C76:C79"/>
    <mergeCell ref="B76:B79"/>
    <mergeCell ref="E76:E79"/>
  </mergeCells>
  <phoneticPr fontId="3" type="noConversion"/>
  <hyperlinks>
    <hyperlink ref="F9" r:id="rId1"/>
  </hyperlinks>
  <printOptions horizontalCentered="1"/>
  <pageMargins left="0.15748031496062992" right="0.15748031496062992" top="0.27559055118110237" bottom="0.19685039370078741" header="0.23622047244094491" footer="0.15748031496062992"/>
  <pageSetup paperSize="9" scale="49" fitToHeight="30" orientation="landscape" r:id="rId2"/>
  <headerFooter alignWithMargins="0"/>
  <rowBreaks count="2" manualBreakCount="2">
    <brk id="60" max="19" man="1"/>
    <brk id="72" max="19"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 г</vt:lpstr>
      <vt:lpstr>'2019 г'!Заголовки_для_печати</vt:lpstr>
      <vt:lpstr>'2019 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Помазкова</dc:creator>
  <cp:lastModifiedBy>Помазкова</cp:lastModifiedBy>
  <cp:lastPrinted>2019-07-24T10:58:30Z</cp:lastPrinted>
  <dcterms:created xsi:type="dcterms:W3CDTF">2013-11-27T11:47:34Z</dcterms:created>
  <dcterms:modified xsi:type="dcterms:W3CDTF">2019-07-24T11:02:15Z</dcterms:modified>
</cp:coreProperties>
</file>